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ar List" sheetId="1" r:id="rId3"/>
  </sheets>
  <definedNames/>
  <calcPr/>
</workbook>
</file>

<file path=xl/sharedStrings.xml><?xml version="1.0" encoding="utf-8"?>
<sst xmlns="http://schemas.openxmlformats.org/spreadsheetml/2006/main" count="300" uniqueCount="134">
  <si>
    <t>Dudetrek 2020 Gear List</t>
  </si>
  <si>
    <t>Using ERIK THE BLACK'S BACKPACKING GEAR LIST CALCULATOR 3.0</t>
  </si>
  <si>
    <t>THE BIG FOUR</t>
  </si>
  <si>
    <t>ITEM</t>
  </si>
  <si>
    <t>STYLE</t>
  </si>
  <si>
    <t>DESCRIPTION</t>
  </si>
  <si>
    <t>POUNDS</t>
  </si>
  <si>
    <t>OUNCES</t>
  </si>
  <si>
    <t>GRAMS</t>
  </si>
  <si>
    <t>WEIGHT (LBS)</t>
  </si>
  <si>
    <t>HIDDEN</t>
  </si>
  <si>
    <t>RETAIL PRICE</t>
  </si>
  <si>
    <t>✓</t>
  </si>
  <si>
    <t>Backpack</t>
  </si>
  <si>
    <t>Chest Pack</t>
  </si>
  <si>
    <t>Shelter</t>
  </si>
  <si>
    <t>Sleeping Quilt</t>
  </si>
  <si>
    <t>Sleeping Pad</t>
  </si>
  <si>
    <t>Ground Sheet</t>
  </si>
  <si>
    <t>Stakes</t>
  </si>
  <si>
    <t>12 of them</t>
  </si>
  <si>
    <t>Hammock and Straps</t>
  </si>
  <si>
    <t>SUBTOTAL:</t>
  </si>
  <si>
    <t>CLOTHING PACKED</t>
  </si>
  <si>
    <t>Rain Jacket</t>
  </si>
  <si>
    <t>Rain Skirt</t>
  </si>
  <si>
    <t>Button Down 1</t>
  </si>
  <si>
    <t>Button Down 2</t>
  </si>
  <si>
    <t>Wool T-Shirt</t>
  </si>
  <si>
    <t>Wool Underwear</t>
  </si>
  <si>
    <t>Wool Arm Warmers</t>
  </si>
  <si>
    <t>Base Layer Shorts</t>
  </si>
  <si>
    <t>Leggings</t>
  </si>
  <si>
    <t>Mosquito Headnet</t>
  </si>
  <si>
    <t>Warm Socks</t>
  </si>
  <si>
    <t>Neoprene Socks</t>
  </si>
  <si>
    <t>NRS Hydroskin 0.5mm WetSocks</t>
  </si>
  <si>
    <t>Buffs</t>
  </si>
  <si>
    <t>Thrift Store Varieties</t>
  </si>
  <si>
    <t>3 of them</t>
  </si>
  <si>
    <t>COOKING &amp; HYDRATION</t>
  </si>
  <si>
    <t>Cook Stove</t>
  </si>
  <si>
    <t>Cook Pot</t>
  </si>
  <si>
    <t>Cup</t>
  </si>
  <si>
    <t>Tang Container</t>
  </si>
  <si>
    <t>Spoon</t>
  </si>
  <si>
    <t>Water Bladder</t>
  </si>
  <si>
    <t>Water Bottles</t>
  </si>
  <si>
    <t>8 of them</t>
  </si>
  <si>
    <t>Water Filtration</t>
  </si>
  <si>
    <t>Water Purification</t>
  </si>
  <si>
    <t>60 tablets+ old MSR tabs</t>
  </si>
  <si>
    <t>Desalination Bottle</t>
  </si>
  <si>
    <t>SURVIVAL &amp; MISC</t>
  </si>
  <si>
    <t>Map</t>
  </si>
  <si>
    <t>North and South</t>
  </si>
  <si>
    <t>GPS Receiver</t>
  </si>
  <si>
    <t>Compass/Whistle/Thermometer/Magnifying Glass</t>
  </si>
  <si>
    <t>Headlamp</t>
  </si>
  <si>
    <t>Knife</t>
  </si>
  <si>
    <t>Swiss Army Knife</t>
  </si>
  <si>
    <t>Fire Starter</t>
  </si>
  <si>
    <t>Lighter</t>
  </si>
  <si>
    <t>Overview Map</t>
  </si>
  <si>
    <t>3'x4' North America Satellite Map w/ Route Superimposed</t>
  </si>
  <si>
    <t>First Aid Kit</t>
  </si>
  <si>
    <t>DIY First Aid Kit</t>
  </si>
  <si>
    <t>Toothbrush</t>
  </si>
  <si>
    <t>Toothpaste</t>
  </si>
  <si>
    <t>Trowel</t>
  </si>
  <si>
    <t>"The Deuce" Ultralight Trowel</t>
  </si>
  <si>
    <t>Bandana</t>
  </si>
  <si>
    <t>PCT 2014 "Thruhiker to Town" Bandana</t>
  </si>
  <si>
    <t>Sleeping Bag Sack</t>
  </si>
  <si>
    <t>Food/Clothes/Kit Sacks</t>
  </si>
  <si>
    <t>2L x2, 8L x4</t>
  </si>
  <si>
    <t>Pen</t>
  </si>
  <si>
    <t>Swimming Goggles</t>
  </si>
  <si>
    <t>Thrift Store Goggles</t>
  </si>
  <si>
    <t>Gear Repair Kit</t>
  </si>
  <si>
    <t>DIY "Oh Shit" Kit</t>
  </si>
  <si>
    <t>Fanny Pack</t>
  </si>
  <si>
    <t>Eagle Creek Fanny pack</t>
  </si>
  <si>
    <t>Fishing Line/Hooks</t>
  </si>
  <si>
    <t>Solar Light/USB charger</t>
  </si>
  <si>
    <t>Passport</t>
  </si>
  <si>
    <t>Field Notes Journal</t>
  </si>
  <si>
    <t>Sling</t>
  </si>
  <si>
    <t>DIY Sling</t>
  </si>
  <si>
    <t>CLOTHING WORN</t>
  </si>
  <si>
    <t>Every day T-Shirt</t>
  </si>
  <si>
    <t>Every day Shorts</t>
  </si>
  <si>
    <t>Full Brim Visor</t>
  </si>
  <si>
    <t>DIY Full Brim Visor</t>
  </si>
  <si>
    <t>Sunglasses</t>
  </si>
  <si>
    <t>Shoes</t>
  </si>
  <si>
    <t>Gaiters</t>
  </si>
  <si>
    <t>Thrift Store Gaiters</t>
  </si>
  <si>
    <t>Toe Socks</t>
  </si>
  <si>
    <t>6 pairs</t>
  </si>
  <si>
    <t>Trekking Poles</t>
  </si>
  <si>
    <t>X</t>
  </si>
  <si>
    <t>CUSTOM</t>
  </si>
  <si>
    <t>Boating</t>
  </si>
  <si>
    <t>Packraft</t>
  </si>
  <si>
    <t>Inflatable Seat</t>
  </si>
  <si>
    <t>Repair Kit</t>
  </si>
  <si>
    <t>Paddle Blades</t>
  </si>
  <si>
    <t>DIY Paddle Blades</t>
  </si>
  <si>
    <t>PFD</t>
  </si>
  <si>
    <t>Shit I have to carry for you to see this</t>
  </si>
  <si>
    <t>Guitar</t>
  </si>
  <si>
    <t>Solar Panel</t>
  </si>
  <si>
    <t>Battery Pack</t>
  </si>
  <si>
    <t>Camera</t>
  </si>
  <si>
    <t>Camera Bag</t>
  </si>
  <si>
    <t>Canon Camera Bag</t>
  </si>
  <si>
    <t>GoPro</t>
  </si>
  <si>
    <t>Tripod</t>
  </si>
  <si>
    <t>GoPro Accesories</t>
  </si>
  <si>
    <t>Camera Accesories</t>
  </si>
  <si>
    <t>Camera Accesorues.</t>
  </si>
  <si>
    <t>Phone</t>
  </si>
  <si>
    <t>Phone Accesories</t>
  </si>
  <si>
    <t>HAND SANITIZER</t>
  </si>
  <si>
    <t>ANTISEPTIC</t>
  </si>
  <si>
    <t>WEIGHT &amp; COST SUMMARY</t>
  </si>
  <si>
    <t>CATEGORY</t>
  </si>
  <si>
    <t>COST</t>
  </si>
  <si>
    <t>BASE WEIGHT</t>
  </si>
  <si>
    <t>FULL PACK WEIGHT</t>
  </si>
  <si>
    <t>SKIN-OUT WEIGHT</t>
  </si>
  <si>
    <t>For more lightweight backpacking tips and tools, please vist my blog:</t>
  </si>
  <si>
    <t>www.BlackwoodsPress.com/blog/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</si>
</sst>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&quot;$&quot;#,##0.00"/>
    <numFmt numFmtId="166" formatCode="&quot;$&quot;#,##0"/>
  </numFmts>
  <fonts count="17">
    <font>
      <sz val="10.0"/>
      <color rgb="FF000000"/>
      <name val="Arial"/>
    </font>
    <font>
      <b/>
      <sz val="14.0"/>
      <color rgb="FF000000"/>
      <name val="Roboto"/>
    </font>
    <font>
      <b/>
      <sz val="10.0"/>
      <color rgb="FF000000"/>
      <name val="Roboto"/>
    </font>
    <font>
      <u/>
      <sz val="10.0"/>
      <color rgb="FF1155CC"/>
      <name val="Roboto"/>
    </font>
    <font>
      <b/>
      <sz val="10.0"/>
      <color rgb="FFFFFFFF"/>
      <name val="Roboto"/>
    </font>
    <font>
      <color rgb="FFFFFFFF"/>
      <name val="Roboto"/>
    </font>
    <font/>
    <font>
      <name val="Roboto"/>
    </font>
    <font>
      <u/>
      <color rgb="FF0000FF"/>
      <name val="Roboto"/>
    </font>
    <font>
      <color rgb="FF999999"/>
      <name val="Roboto"/>
    </font>
    <font>
      <sz val="10.0"/>
      <name val="Roboto"/>
    </font>
    <font>
      <b/>
      <name val="Roboto"/>
    </font>
    <font>
      <sz val="10.0"/>
      <color rgb="FFB7B7B7"/>
      <name val="Roboto"/>
    </font>
    <font>
      <color rgb="FFB7B7B7"/>
      <name val="Roboto"/>
    </font>
    <font>
      <b/>
      <color rgb="FF999999"/>
      <name val="Roboto"/>
    </font>
    <font>
      <color rgb="FFF1C232"/>
      <name val="Roboto"/>
    </font>
    <font>
      <u/>
      <color rgb="FF0000FF"/>
      <name val="Roboto"/>
    </font>
  </fonts>
  <fills count="12">
    <fill>
      <patternFill patternType="none"/>
    </fill>
    <fill>
      <patternFill patternType="lightGray"/>
    </fill>
    <fill>
      <patternFill patternType="solid">
        <fgColor rgb="FF1C4587"/>
        <bgColor rgb="FF1C4587"/>
      </patternFill>
    </fill>
    <fill>
      <patternFill patternType="solid">
        <fgColor rgb="FF000000"/>
        <bgColor rgb="FF000000"/>
      </patternFill>
    </fill>
    <fill>
      <patternFill patternType="solid">
        <fgColor rgb="FF1155CC"/>
        <bgColor rgb="FF1155CC"/>
      </patternFill>
    </fill>
    <fill>
      <patternFill patternType="solid">
        <fgColor rgb="FF3C78D8"/>
        <bgColor rgb="FF3C78D8"/>
      </patternFill>
    </fill>
    <fill>
      <patternFill patternType="solid">
        <fgColor rgb="FF6FA8DC"/>
        <bgColor rgb="FF6FA8DC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CC0000"/>
        <bgColor rgb="FFCC0000"/>
      </patternFill>
    </fill>
    <fill>
      <patternFill patternType="solid">
        <fgColor rgb="FF674EA7"/>
        <bgColor rgb="FF674EA7"/>
      </patternFill>
    </fill>
    <fill>
      <patternFill patternType="solid">
        <fgColor rgb="FFCCCCCC"/>
        <bgColor rgb="FFCCCCCC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bottom style="thin">
        <color rgb="FFCCCCCC"/>
      </bottom>
    </border>
    <border>
      <left style="thin">
        <color rgb="FF000000"/>
      </left>
      <right style="thin">
        <color rgb="FF000000"/>
      </right>
      <bottom style="thin">
        <color rgb="FFCCCCCC"/>
      </bottom>
    </border>
    <border>
      <right style="medium">
        <color rgb="FF000000"/>
      </right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CCCCC"/>
      </bottom>
    </border>
    <border>
      <left style="medium">
        <color rgb="FF000000"/>
      </left>
      <right style="medium">
        <color rgb="FF000000"/>
      </right>
      <bottom style="thin">
        <color rgb="FFCCCCCC"/>
      </bottom>
    </border>
    <border>
      <left style="medium">
        <color rgb="FF000000"/>
      </lef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</border>
    <border>
      <right style="medium">
        <color rgb="FF000000"/>
      </right>
      <top style="thin">
        <color rgb="FFCCCCCC"/>
      </top>
      <bottom style="thin">
        <color rgb="FFCCCCCC"/>
      </bottom>
    </border>
    <border>
      <left style="medium">
        <color rgb="FF000000"/>
      </left>
      <top style="thin">
        <color rgb="FFCCCCCC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medium">
        <color rgb="FF000000"/>
      </bottom>
    </border>
    <border>
      <right style="medium">
        <color rgb="FF000000"/>
      </right>
      <top style="thin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CCCCCC"/>
      </top>
    </border>
    <border>
      <left style="thin">
        <color rgb="FF000000"/>
      </left>
      <right style="thin">
        <color rgb="FF000000"/>
      </right>
      <top style="thin">
        <color rgb="FFCCCCCC"/>
      </top>
    </border>
    <border>
      <right style="medium">
        <color rgb="FF000000"/>
      </right>
      <top style="thin">
        <color rgb="FFCCCCCC"/>
      </top>
    </border>
    <border>
      <left style="medium">
        <color rgb="FF000000"/>
      </left>
      <right style="medium">
        <color rgb="FF000000"/>
      </right>
    </border>
    <border>
      <bottom style="thin">
        <color rgb="FFB7B7B7"/>
      </bottom>
    </border>
    <border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2" fontId="4" numFmtId="0" xfId="0" applyAlignment="1" applyFill="1" applyFont="1">
      <alignment horizontal="left" readingOrder="0" shrinkToFit="0" vertical="center" wrapText="1"/>
    </xf>
    <xf borderId="1" fillId="3" fontId="5" numFmtId="0" xfId="0" applyAlignment="1" applyBorder="1" applyFill="1" applyFont="1">
      <alignment horizontal="center" readingOrder="0" shrinkToFit="0" wrapText="1"/>
    </xf>
    <xf borderId="1" fillId="3" fontId="5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readingOrder="0" shrinkToFit="0" wrapText="1"/>
    </xf>
    <xf borderId="1" fillId="3" fontId="5" numFmtId="0" xfId="0" applyAlignment="1" applyBorder="1" applyFont="1">
      <alignment horizontal="left" readingOrder="0" shrinkToFit="0" wrapText="1"/>
    </xf>
    <xf borderId="1" fillId="3" fontId="5" numFmtId="0" xfId="0" applyAlignment="1" applyBorder="1" applyFont="1">
      <alignment horizontal="right" readingOrder="0" shrinkToFit="0" wrapText="1"/>
    </xf>
    <xf borderId="2" fillId="3" fontId="5" numFmtId="0" xfId="0" applyAlignment="1" applyBorder="1" applyFont="1">
      <alignment horizontal="right" readingOrder="0" shrinkToFit="0" wrapText="1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readingOrder="0" shrinkToFit="0" vertical="center" wrapText="1"/>
    </xf>
    <xf borderId="0" fillId="0" fontId="8" numFmtId="0" xfId="0" applyAlignment="1" applyFont="1">
      <alignment readingOrder="0" shrinkToFit="0" wrapText="1"/>
    </xf>
    <xf borderId="3" fillId="0" fontId="7" numFmtId="0" xfId="0" applyAlignment="1" applyBorder="1" applyFont="1">
      <alignment readingOrder="0" shrinkToFit="0" wrapText="1"/>
    </xf>
    <xf borderId="4" fillId="0" fontId="7" numFmtId="0" xfId="0" applyAlignment="1" applyBorder="1" applyFont="1">
      <alignment readingOrder="0" shrinkToFit="0" wrapText="1"/>
    </xf>
    <xf borderId="5" fillId="0" fontId="7" numFmtId="0" xfId="0" applyAlignment="1" applyBorder="1" applyFont="1">
      <alignment readingOrder="0" shrinkToFit="0" wrapText="1"/>
    </xf>
    <xf borderId="0" fillId="0" fontId="7" numFmtId="164" xfId="0" applyAlignment="1" applyFont="1" applyNumberFormat="1">
      <alignment shrinkToFit="0" wrapText="1"/>
    </xf>
    <xf borderId="0" fillId="0" fontId="9" numFmtId="2" xfId="0" applyAlignment="1" applyFont="1" applyNumberFormat="1">
      <alignment readingOrder="0" shrinkToFit="0" wrapText="1"/>
    </xf>
    <xf borderId="0" fillId="0" fontId="9" numFmtId="165" xfId="0" applyAlignment="1" applyFont="1" applyNumberFormat="1">
      <alignment readingOrder="0" shrinkToFit="0" wrapText="1"/>
    </xf>
    <xf borderId="6" fillId="0" fontId="7" numFmtId="166" xfId="0" applyAlignment="1" applyBorder="1" applyFont="1" applyNumberFormat="1">
      <alignment readingOrder="0" shrinkToFit="0" wrapText="1"/>
    </xf>
    <xf borderId="7" fillId="0" fontId="7" numFmtId="166" xfId="0" applyAlignment="1" applyBorder="1" applyFont="1" applyNumberFormat="1">
      <alignment readingOrder="0" shrinkToFit="0" wrapText="1"/>
    </xf>
    <xf borderId="8" fillId="0" fontId="7" numFmtId="0" xfId="0" applyAlignment="1" applyBorder="1" applyFont="1">
      <alignment readingOrder="0" shrinkToFit="0" wrapText="1"/>
    </xf>
    <xf borderId="9" fillId="0" fontId="7" numFmtId="0" xfId="0" applyAlignment="1" applyBorder="1" applyFont="1">
      <alignment readingOrder="0" shrinkToFit="0" wrapText="1"/>
    </xf>
    <xf borderId="10" fillId="0" fontId="7" numFmtId="0" xfId="0" applyAlignment="1" applyBorder="1" applyFont="1">
      <alignment readingOrder="0" shrinkToFit="0" wrapText="1"/>
    </xf>
    <xf borderId="0" fillId="0" fontId="10" numFmtId="0" xfId="0" applyAlignment="1" applyFont="1">
      <alignment horizontal="center" readingOrder="0" shrinkToFit="0" wrapText="1"/>
    </xf>
    <xf borderId="11" fillId="0" fontId="7" numFmtId="0" xfId="0" applyAlignment="1" applyBorder="1" applyFont="1">
      <alignment readingOrder="0" shrinkToFit="0" wrapText="1"/>
    </xf>
    <xf borderId="12" fillId="0" fontId="7" numFmtId="0" xfId="0" applyAlignment="1" applyBorder="1" applyFont="1">
      <alignment readingOrder="0" shrinkToFit="0" wrapText="1"/>
    </xf>
    <xf borderId="13" fillId="0" fontId="7" numFmtId="0" xfId="0" applyAlignment="1" applyBorder="1" applyFont="1">
      <alignment readingOrder="0" shrinkToFit="0" wrapText="1"/>
    </xf>
    <xf borderId="14" fillId="0" fontId="7" numFmtId="166" xfId="0" applyAlignment="1" applyBorder="1" applyFont="1" applyNumberFormat="1">
      <alignment readingOrder="0" shrinkToFit="0" wrapText="1"/>
    </xf>
    <xf borderId="0" fillId="0" fontId="7" numFmtId="0" xfId="0" applyAlignment="1" applyFont="1">
      <alignment horizontal="center" shrinkToFit="0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shrinkToFit="0" wrapText="1"/>
    </xf>
    <xf borderId="0" fillId="0" fontId="11" numFmtId="0" xfId="0" applyAlignment="1" applyFont="1">
      <alignment horizontal="right" readingOrder="0" shrinkToFit="0" wrapText="1"/>
    </xf>
    <xf borderId="0" fillId="0" fontId="11" numFmtId="164" xfId="0" applyAlignment="1" applyFont="1" applyNumberFormat="1">
      <alignment shrinkToFit="0" wrapText="1"/>
    </xf>
    <xf borderId="0" fillId="0" fontId="11" numFmtId="0" xfId="0" applyAlignment="1" applyFont="1">
      <alignment shrinkToFit="0" wrapText="1"/>
    </xf>
    <xf borderId="0" fillId="0" fontId="11" numFmtId="166" xfId="0" applyAlignment="1" applyFont="1" applyNumberFormat="1">
      <alignment shrinkToFit="0" wrapText="1"/>
    </xf>
    <xf borderId="0" fillId="4" fontId="4" numFmtId="0" xfId="0" applyAlignment="1" applyFill="1" applyFont="1">
      <alignment horizontal="left" readingOrder="0" shrinkToFit="0" vertical="center" wrapText="1"/>
    </xf>
    <xf borderId="0" fillId="0" fontId="7" numFmtId="164" xfId="0" applyAlignment="1" applyFont="1" applyNumberFormat="1">
      <alignment readingOrder="0" shrinkToFit="0" wrapText="1"/>
    </xf>
    <xf borderId="0" fillId="0" fontId="7" numFmtId="0" xfId="0" applyAlignment="1" applyFont="1">
      <alignment readingOrder="0" shrinkToFit="0" wrapText="1"/>
    </xf>
    <xf borderId="15" fillId="0" fontId="7" numFmtId="0" xfId="0" applyAlignment="1" applyBorder="1" applyFont="1">
      <alignment readingOrder="0" shrinkToFit="0" wrapText="1"/>
    </xf>
    <xf borderId="16" fillId="0" fontId="7" numFmtId="0" xfId="0" applyAlignment="1" applyBorder="1" applyFont="1">
      <alignment readingOrder="0" shrinkToFit="0" wrapText="1"/>
    </xf>
    <xf borderId="17" fillId="0" fontId="7" numFmtId="0" xfId="0" applyAlignment="1" applyBorder="1" applyFont="1">
      <alignment readingOrder="0" shrinkToFit="0" wrapText="1"/>
    </xf>
    <xf borderId="18" fillId="0" fontId="7" numFmtId="166" xfId="0" applyAlignment="1" applyBorder="1" applyFont="1" applyNumberFormat="1">
      <alignment readingOrder="0" shrinkToFit="0" wrapText="1"/>
    </xf>
    <xf borderId="0" fillId="5" fontId="4" numFmtId="0" xfId="0" applyAlignment="1" applyFill="1" applyFont="1">
      <alignment horizontal="left" readingOrder="0" shrinkToFit="0" vertical="center" wrapText="1"/>
    </xf>
    <xf borderId="0" fillId="6" fontId="4" numFmtId="0" xfId="0" applyAlignment="1" applyFill="1" applyFont="1">
      <alignment horizontal="left" readingOrder="0" shrinkToFit="0" vertical="center" wrapText="1"/>
    </xf>
    <xf borderId="0" fillId="7" fontId="4" numFmtId="0" xfId="0" applyAlignment="1" applyFill="1" applyFont="1">
      <alignment horizontal="left" readingOrder="0" shrinkToFit="0" vertical="center" wrapText="1"/>
    </xf>
    <xf borderId="0" fillId="8" fontId="4" numFmtId="0" xfId="0" applyAlignment="1" applyFill="1" applyFont="1">
      <alignment horizontal="left" readingOrder="0" shrinkToFit="0" vertical="center" wrapText="1"/>
    </xf>
    <xf borderId="0" fillId="0" fontId="4" numFmtId="0" xfId="0" applyAlignment="1" applyFont="1">
      <alignment horizontal="left" readingOrder="0" shrinkToFit="0" vertical="center" wrapText="1"/>
    </xf>
    <xf borderId="0" fillId="9" fontId="4" numFmtId="0" xfId="0" applyAlignment="1" applyFill="1" applyFont="1">
      <alignment horizontal="left" readingOrder="0" shrinkToFit="0" vertical="center" wrapText="1"/>
    </xf>
    <xf borderId="0" fillId="0" fontId="12" numFmtId="0" xfId="0" applyAlignment="1" applyFont="1">
      <alignment horizontal="center" readingOrder="0" shrinkToFit="0" wrapText="1"/>
    </xf>
    <xf borderId="0" fillId="0" fontId="13" numFmtId="0" xfId="0" applyAlignment="1" applyFont="1">
      <alignment readingOrder="0" shrinkToFit="0" vertical="center" wrapText="1"/>
    </xf>
    <xf borderId="3" fillId="0" fontId="13" numFmtId="0" xfId="0" applyAlignment="1" applyBorder="1" applyFont="1">
      <alignment readingOrder="0" shrinkToFit="0" wrapText="1"/>
    </xf>
    <xf borderId="4" fillId="0" fontId="13" numFmtId="0" xfId="0" applyAlignment="1" applyBorder="1" applyFont="1">
      <alignment readingOrder="0" shrinkToFit="0" wrapText="1"/>
    </xf>
    <xf borderId="5" fillId="0" fontId="13" numFmtId="0" xfId="0" applyAlignment="1" applyBorder="1" applyFont="1">
      <alignment readingOrder="0" shrinkToFit="0" wrapText="1"/>
    </xf>
    <xf borderId="0" fillId="0" fontId="13" numFmtId="164" xfId="0" applyAlignment="1" applyFont="1" applyNumberFormat="1">
      <alignment shrinkToFit="0" wrapText="1"/>
    </xf>
    <xf borderId="7" fillId="0" fontId="13" numFmtId="166" xfId="0" applyAlignment="1" applyBorder="1" applyFont="1" applyNumberFormat="1">
      <alignment readingOrder="0" shrinkToFit="0" wrapText="1"/>
    </xf>
    <xf borderId="8" fillId="0" fontId="13" numFmtId="0" xfId="0" applyAlignment="1" applyBorder="1" applyFont="1">
      <alignment readingOrder="0" shrinkToFit="0" wrapText="1"/>
    </xf>
    <xf borderId="9" fillId="0" fontId="13" numFmtId="0" xfId="0" applyAlignment="1" applyBorder="1" applyFont="1">
      <alignment readingOrder="0" shrinkToFit="0" wrapText="1"/>
    </xf>
    <xf borderId="10" fillId="0" fontId="13" numFmtId="0" xfId="0" applyAlignment="1" applyBorder="1" applyFont="1">
      <alignment readingOrder="0" shrinkToFit="0" wrapText="1"/>
    </xf>
    <xf borderId="11" fillId="0" fontId="13" numFmtId="0" xfId="0" applyAlignment="1" applyBorder="1" applyFont="1">
      <alignment readingOrder="0" shrinkToFit="0" wrapText="1"/>
    </xf>
    <xf borderId="12" fillId="0" fontId="13" numFmtId="0" xfId="0" applyAlignment="1" applyBorder="1" applyFont="1">
      <alignment readingOrder="0" shrinkToFit="0" wrapText="1"/>
    </xf>
    <xf borderId="13" fillId="0" fontId="13" numFmtId="0" xfId="0" applyAlignment="1" applyBorder="1" applyFont="1">
      <alignment readingOrder="0" shrinkToFit="0" wrapText="1"/>
    </xf>
    <xf borderId="14" fillId="0" fontId="13" numFmtId="166" xfId="0" applyAlignment="1" applyBorder="1" applyFont="1" applyNumberFormat="1">
      <alignment readingOrder="0" shrinkToFit="0" wrapText="1"/>
    </xf>
    <xf borderId="0" fillId="10" fontId="4" numFmtId="0" xfId="0" applyAlignment="1" applyFill="1" applyFont="1">
      <alignment horizontal="left" readingOrder="0" shrinkToFit="0" vertical="center" wrapText="1"/>
    </xf>
    <xf borderId="19" fillId="2" fontId="7" numFmtId="0" xfId="0" applyAlignment="1" applyBorder="1" applyFont="1">
      <alignment readingOrder="0" shrinkToFit="0" wrapText="1"/>
    </xf>
    <xf borderId="19" fillId="0" fontId="7" numFmtId="0" xfId="0" applyAlignment="1" applyBorder="1" applyFont="1">
      <alignment readingOrder="0" shrinkToFit="0" vertical="center" wrapText="1"/>
    </xf>
    <xf borderId="19" fillId="0" fontId="7" numFmtId="0" xfId="0" applyAlignment="1" applyBorder="1" applyFont="1">
      <alignment readingOrder="0" shrinkToFit="0" wrapText="1"/>
    </xf>
    <xf borderId="19" fillId="0" fontId="7" numFmtId="164" xfId="0" applyAlignment="1" applyBorder="1" applyFont="1" applyNumberFormat="1">
      <alignment shrinkToFit="0" wrapText="1"/>
    </xf>
    <xf borderId="19" fillId="0" fontId="7" numFmtId="166" xfId="0" applyAlignment="1" applyBorder="1" applyFont="1" applyNumberFormat="1">
      <alignment readingOrder="0" shrinkToFit="0" wrapText="1"/>
    </xf>
    <xf borderId="19" fillId="0" fontId="9" numFmtId="10" xfId="0" applyAlignment="1" applyBorder="1" applyFont="1" applyNumberFormat="1">
      <alignment readingOrder="0" shrinkToFit="0" wrapText="1"/>
    </xf>
    <xf borderId="19" fillId="4" fontId="7" numFmtId="0" xfId="0" applyAlignment="1" applyBorder="1" applyFont="1">
      <alignment readingOrder="0" shrinkToFit="0" wrapText="1"/>
    </xf>
    <xf borderId="20" fillId="0" fontId="7" numFmtId="0" xfId="0" applyAlignment="1" applyBorder="1" applyFont="1">
      <alignment readingOrder="0" shrinkToFit="0" wrapText="1"/>
    </xf>
    <xf borderId="20" fillId="0" fontId="7" numFmtId="164" xfId="0" applyAlignment="1" applyBorder="1" applyFont="1" applyNumberFormat="1">
      <alignment shrinkToFit="0" wrapText="1"/>
    </xf>
    <xf borderId="20" fillId="0" fontId="7" numFmtId="166" xfId="0" applyAlignment="1" applyBorder="1" applyFont="1" applyNumberFormat="1">
      <alignment readingOrder="0" shrinkToFit="0" wrapText="1"/>
    </xf>
    <xf borderId="20" fillId="0" fontId="9" numFmtId="10" xfId="0" applyAlignment="1" applyBorder="1" applyFont="1" applyNumberFormat="1">
      <alignment readingOrder="0" shrinkToFit="0" wrapText="1"/>
    </xf>
    <xf borderId="19" fillId="5" fontId="7" numFmtId="0" xfId="0" applyAlignment="1" applyBorder="1" applyFont="1">
      <alignment readingOrder="0" shrinkToFit="0" wrapText="1"/>
    </xf>
    <xf borderId="19" fillId="6" fontId="7" numFmtId="0" xfId="0" applyAlignment="1" applyBorder="1" applyFont="1">
      <alignment readingOrder="0" shrinkToFit="0" wrapText="1"/>
    </xf>
    <xf borderId="20" fillId="11" fontId="11" numFmtId="0" xfId="0" applyAlignment="1" applyBorder="1" applyFill="1" applyFont="1">
      <alignment readingOrder="0" shrinkToFit="0" wrapText="1"/>
    </xf>
    <xf borderId="20" fillId="11" fontId="11" numFmtId="0" xfId="0" applyAlignment="1" applyBorder="1" applyFont="1">
      <alignment readingOrder="0" shrinkToFit="0" vertical="center" wrapText="1"/>
    </xf>
    <xf borderId="20" fillId="11" fontId="11" numFmtId="164" xfId="0" applyAlignment="1" applyBorder="1" applyFont="1" applyNumberFormat="1">
      <alignment horizontal="left" readingOrder="0" shrinkToFit="0" wrapText="1"/>
    </xf>
    <xf borderId="20" fillId="11" fontId="11" numFmtId="164" xfId="0" applyAlignment="1" applyBorder="1" applyFont="1" applyNumberFormat="1">
      <alignment readingOrder="0" shrinkToFit="0" wrapText="1"/>
    </xf>
    <xf borderId="20" fillId="11" fontId="11" numFmtId="166" xfId="0" applyAlignment="1" applyBorder="1" applyFont="1" applyNumberFormat="1">
      <alignment horizontal="right" readingOrder="0" shrinkToFit="0" wrapText="1"/>
    </xf>
    <xf borderId="20" fillId="11" fontId="14" numFmtId="10" xfId="0" applyAlignment="1" applyBorder="1" applyFont="1" applyNumberFormat="1">
      <alignment readingOrder="0" shrinkToFit="0" wrapText="1"/>
    </xf>
    <xf borderId="20" fillId="11" fontId="11" numFmtId="166" xfId="0" applyAlignment="1" applyBorder="1" applyFont="1" applyNumberFormat="1">
      <alignment readingOrder="0" shrinkToFit="0" wrapText="1"/>
    </xf>
    <xf borderId="20" fillId="9" fontId="7" numFmtId="0" xfId="0" applyAlignment="1" applyBorder="1" applyFont="1">
      <alignment readingOrder="0" shrinkToFit="0" wrapText="1"/>
    </xf>
    <xf borderId="20" fillId="0" fontId="7" numFmtId="0" xfId="0" applyAlignment="1" applyBorder="1" applyFont="1">
      <alignment readingOrder="0" shrinkToFit="0" vertical="center" wrapText="1"/>
    </xf>
    <xf borderId="20" fillId="7" fontId="15" numFmtId="0" xfId="0" applyAlignment="1" applyBorder="1" applyFont="1">
      <alignment readingOrder="0" shrinkToFit="0" wrapText="1"/>
    </xf>
    <xf borderId="20" fillId="8" fontId="7" numFmtId="0" xfId="0" applyAlignment="1" applyBorder="1" applyFont="1">
      <alignment readingOrder="0" shrinkToFit="0" wrapText="1"/>
    </xf>
    <xf borderId="0" fillId="0" fontId="11" numFmtId="0" xfId="0" applyAlignment="1" applyFont="1">
      <alignment horizontal="center" readingOrder="0" shrinkToFit="0" wrapText="1"/>
    </xf>
    <xf borderId="0" fillId="0" fontId="16" numFmtId="0" xfId="0" applyAlignment="1" applyFont="1">
      <alignment horizontal="center" readingOrder="0" shrinkToFit="0" wrapText="1"/>
    </xf>
  </cellXfs>
  <cellStyles count="1">
    <cellStyle xfId="0" name="Normal" builtinId="0"/>
  </cellStyles>
  <dxfs count="4">
    <dxf>
      <font>
        <b/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CC0000"/>
      </font>
      <fill>
        <patternFill patternType="solid">
          <fgColor rgb="FFD9D9D9"/>
          <bgColor rgb="FFD9D9D9"/>
        </patternFill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strike/>
        <color rgb="FFCC0000"/>
      </font>
      <fill>
        <patternFill patternType="solid">
          <fgColor rgb="FFD9D9D9"/>
          <bgColor rgb="FFD9D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t>WEIGHT</a:t>
            </a:r>
          </a:p>
        </c:rich>
      </c:tx>
      <c:overlay val="0"/>
    </c:title>
    <c:plotArea>
      <c:layout>
        <c:manualLayout>
          <c:xMode val="edge"/>
          <c:yMode val="edge"/>
          <c:x val="0.3738839285714287"/>
          <c:y val="0.12646001796945192"/>
          <c:w val="0.5847098214285713"/>
          <c:h val="0.823539982030547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1C4587"/>
              </a:solidFill>
            </c:spPr>
          </c:dPt>
          <c:dPt>
            <c:idx val="1"/>
            <c:spPr>
              <a:solidFill>
                <a:srgbClr val="1155CC"/>
              </a:solidFill>
            </c:spPr>
          </c:dPt>
          <c:dPt>
            <c:idx val="2"/>
            <c:spPr>
              <a:solidFill>
                <a:srgbClr val="3C78D8"/>
              </a:solidFill>
            </c:spPr>
          </c:dPt>
          <c:dPt>
            <c:idx val="3"/>
            <c:spPr>
              <a:solidFill>
                <a:srgbClr val="6FA8DC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CC0000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F1C232"/>
              </a:solidFill>
            </c:spPr>
          </c:dPt>
          <c:dPt>
            <c:idx val="8"/>
            <c:spPr>
              <a:solidFill>
                <a:srgbClr val="E69138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'Gear List'!$C$123:$C$132</c:f>
            </c:strRef>
          </c:cat>
          <c:val>
            <c:numRef>
              <c:f>'Gear List'!$F$123:$F$132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l"/>
      <c:overlay val="0"/>
      <c:txPr>
        <a:bodyPr/>
        <a:lstStyle/>
        <a:p>
          <a:pPr lvl="0">
            <a:defRPr b="0" sz="12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t>RETAIL COST</a:t>
            </a:r>
          </a:p>
        </c:rich>
      </c:tx>
      <c:overlay val="0"/>
    </c:title>
    <c:plotArea>
      <c:layout>
        <c:manualLayout>
          <c:xMode val="edge"/>
          <c:yMode val="edge"/>
          <c:x val="0.3738839285714287"/>
          <c:y val="0.12646001796945192"/>
          <c:w val="0.5847098214285713"/>
          <c:h val="0.823539982030547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1C4587"/>
              </a:solidFill>
            </c:spPr>
          </c:dPt>
          <c:dPt>
            <c:idx val="1"/>
            <c:spPr>
              <a:solidFill>
                <a:srgbClr val="1155CC"/>
              </a:solidFill>
            </c:spPr>
          </c:dPt>
          <c:dPt>
            <c:idx val="2"/>
            <c:spPr>
              <a:solidFill>
                <a:srgbClr val="3C78D8"/>
              </a:solidFill>
            </c:spPr>
          </c:dPt>
          <c:dPt>
            <c:idx val="3"/>
            <c:spPr>
              <a:solidFill>
                <a:srgbClr val="6FA8DC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CC0000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F1C232"/>
              </a:solidFill>
            </c:spPr>
          </c:dPt>
          <c:dPt>
            <c:idx val="8"/>
            <c:spPr>
              <a:solidFill>
                <a:srgbClr val="E69138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'Gear List'!$C$123:$C$132</c:f>
            </c:strRef>
          </c:cat>
          <c:val>
            <c:numRef>
              <c:f>'Gear List'!$H$123:$H$132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l"/>
      <c:overlay val="0"/>
      <c:txPr>
        <a:bodyPr/>
        <a:lstStyle/>
        <a:p>
          <a:pPr lvl="0">
            <a:defRPr b="0" sz="12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133</xdr:row>
      <xdr:rowOff>9525</xdr:rowOff>
    </xdr:from>
    <xdr:ext cx="4181475" cy="3724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2228850</xdr:colOff>
      <xdr:row>133</xdr:row>
      <xdr:rowOff>0</xdr:rowOff>
    </xdr:from>
    <xdr:ext cx="4181475" cy="3724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lackwoodspress.com/blog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5.57"/>
    <col customWidth="1" min="2" max="3" width="25.86"/>
    <col customWidth="1" min="4" max="4" width="35.57"/>
    <col customWidth="1" min="5" max="7" width="11.57"/>
    <col customWidth="1" min="8" max="8" width="14.43"/>
    <col customWidth="1" hidden="1" min="9" max="10" width="11.57"/>
    <col customWidth="1" min="11" max="11" width="11.57"/>
  </cols>
  <sheetData>
    <row r="1">
      <c r="A1" s="1" t="s">
        <v>0</v>
      </c>
    </row>
    <row r="2">
      <c r="A2" s="2" t="s">
        <v>1</v>
      </c>
    </row>
    <row r="3">
      <c r="A3" s="3" t="str">
        <f>HYPERLINK("http://blackwoodspress.com/blog/2755/backpacking-gear-planner-2/","Link to Download Spreadsheet")</f>
        <v>Link to Download Spreadsheet</v>
      </c>
    </row>
    <row r="4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>
      <c r="A5" s="5" t="s">
        <v>2</v>
      </c>
    </row>
    <row r="6">
      <c r="A6" s="6"/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10</v>
      </c>
      <c r="K6" s="11" t="s">
        <v>11</v>
      </c>
    </row>
    <row r="7">
      <c r="A7" s="12" t="s">
        <v>12</v>
      </c>
      <c r="B7" s="13" t="s">
        <v>13</v>
      </c>
      <c r="C7" s="14" t="str">
        <f>HYPERLINK("https://seekoutside.com/gila-3500-ultralight-backpack-gray/", "Seek Outside Gila 3500 w/ lumbar pad and 2 hip belt pockets")</f>
        <v>Seek Outside Gila 3500 w/ lumbar pad and 2 hip belt pockets</v>
      </c>
      <c r="D7" s="15"/>
      <c r="E7" s="16">
        <v>3.0</v>
      </c>
      <c r="F7" s="16">
        <v>0.5</v>
      </c>
      <c r="G7" s="17"/>
      <c r="H7" s="18">
        <f>IF((E7+(F7/16)+(G7/453.592)&gt;0),E7+(F7/16)+(G7/453.592),)</f>
        <v>3.03125</v>
      </c>
      <c r="I7" s="19">
        <f>IF(A7="✓",H7,0)</f>
        <v>3.03125</v>
      </c>
      <c r="J7" s="20">
        <f>IF(A7="✓",K7,0)</f>
        <v>425</v>
      </c>
      <c r="K7" s="21">
        <v>425.0</v>
      </c>
    </row>
    <row r="8">
      <c r="A8" s="12" t="s">
        <v>12</v>
      </c>
      <c r="B8" s="13" t="s">
        <v>14</v>
      </c>
      <c r="C8" s="14" t="str">
        <f>HYPERLINK("https://www.thenorthface.com/shop/92-rage-em-l-nf0a3kxc", "North Face '92 Rage Em Fanny Pack L")</f>
        <v>North Face '92 Rage Em Fanny Pack L</v>
      </c>
      <c r="D8" s="15"/>
      <c r="E8" s="16"/>
      <c r="F8" s="16">
        <v>14.9</v>
      </c>
      <c r="G8" s="17"/>
      <c r="H8" s="18"/>
      <c r="I8" s="19"/>
      <c r="J8" s="20"/>
      <c r="K8" s="22">
        <v>69.0</v>
      </c>
    </row>
    <row r="9">
      <c r="A9" s="12" t="s">
        <v>12</v>
      </c>
      <c r="B9" s="13" t="s">
        <v>15</v>
      </c>
      <c r="C9" s="14" t="str">
        <f>HYPERLINK("https://www.hyperlitemountaingear.com/collections/ultralight-backpacking-shelters-tents/products/flat-tarp", "Hyperlite Mountain Gear 8'x10' Flat Tarp")</f>
        <v>Hyperlite Mountain Gear 8'x10' Flat Tarp</v>
      </c>
      <c r="D9" s="23"/>
      <c r="E9" s="24">
        <v>0.0</v>
      </c>
      <c r="F9" s="24">
        <v>9.74</v>
      </c>
      <c r="G9" s="25"/>
      <c r="H9" s="18">
        <f t="shared" ref="H9:H14" si="1">IF((E9+(F9/16)+(G9/453.592)&gt;0),E9+(F9/16)+(G9/453.592),)</f>
        <v>0.60875</v>
      </c>
      <c r="I9" s="19">
        <f t="shared" ref="I9:I14" si="2">IF(A9="✓",H9,0)</f>
        <v>0.60875</v>
      </c>
      <c r="J9" s="20">
        <f t="shared" ref="J9:J14" si="3">IF(A9="✓",K9,0)</f>
        <v>355</v>
      </c>
      <c r="K9" s="22">
        <v>355.0</v>
      </c>
    </row>
    <row r="10">
      <c r="A10" s="26" t="s">
        <v>12</v>
      </c>
      <c r="B10" s="13" t="s">
        <v>16</v>
      </c>
      <c r="C10" s="14" t="str">
        <f>HYPERLINK("https://enlightenedequipment.com/revelation-apex-custom/", "Revelation Apex 30° Quilt")</f>
        <v>Revelation Apex 30° Quilt</v>
      </c>
      <c r="D10" s="23"/>
      <c r="E10" s="24">
        <v>1.0</v>
      </c>
      <c r="F10" s="24">
        <v>9.7</v>
      </c>
      <c r="G10" s="25"/>
      <c r="H10" s="18">
        <f t="shared" si="1"/>
        <v>1.60625</v>
      </c>
      <c r="I10" s="19">
        <f t="shared" si="2"/>
        <v>1.60625</v>
      </c>
      <c r="J10" s="20">
        <f t="shared" si="3"/>
        <v>190</v>
      </c>
      <c r="K10" s="22">
        <v>190.0</v>
      </c>
    </row>
    <row r="11">
      <c r="A11" s="26" t="s">
        <v>12</v>
      </c>
      <c r="B11" s="13" t="s">
        <v>17</v>
      </c>
      <c r="C11" s="14" t="str">
        <f>HYPERLINK("https://www.thermarest.com/sleeping-pads/fast-and-light/z-lite-sol-and-original-z-lite/z-lite.html", "Thermarest Z-lite")</f>
        <v>Thermarest Z-lite</v>
      </c>
      <c r="D11" s="23"/>
      <c r="E11" s="24"/>
      <c r="F11" s="24">
        <v>14.0</v>
      </c>
      <c r="G11" s="25"/>
      <c r="H11" s="18">
        <f t="shared" si="1"/>
        <v>0.875</v>
      </c>
      <c r="I11" s="19">
        <f t="shared" si="2"/>
        <v>0.875</v>
      </c>
      <c r="J11" s="20">
        <f t="shared" si="3"/>
        <v>40</v>
      </c>
      <c r="K11" s="22">
        <v>40.0</v>
      </c>
    </row>
    <row r="12">
      <c r="A12" s="26" t="s">
        <v>12</v>
      </c>
      <c r="B12" s="13" t="s">
        <v>18</v>
      </c>
      <c r="C12" s="14" t="str">
        <f>HYPERLINK("https://www.sixmoondesigns.com/products/footprint-large-polycro", "Six Moon Designs Polycro Ground Sheet")</f>
        <v>Six Moon Designs Polycro Ground Sheet</v>
      </c>
      <c r="D12" s="23"/>
      <c r="E12" s="24"/>
      <c r="F12" s="24">
        <v>1.6</v>
      </c>
      <c r="G12" s="25"/>
      <c r="H12" s="18">
        <f t="shared" si="1"/>
        <v>0.1</v>
      </c>
      <c r="I12" s="19">
        <f t="shared" si="2"/>
        <v>0.1</v>
      </c>
      <c r="J12" s="20">
        <f t="shared" si="3"/>
        <v>12</v>
      </c>
      <c r="K12" s="22">
        <v>12.0</v>
      </c>
    </row>
    <row r="13">
      <c r="A13" s="26" t="s">
        <v>12</v>
      </c>
      <c r="B13" s="13" t="s">
        <v>19</v>
      </c>
      <c r="C13" s="14" t="str">
        <f>HYPERLINK("https://www.vargooutdoors.com/titanium-ascent-tent-stake.html", "Vargo Titanium Ascent Stakes")</f>
        <v>Vargo Titanium Ascent Stakes</v>
      </c>
      <c r="D13" s="23" t="s">
        <v>20</v>
      </c>
      <c r="E13" s="24"/>
      <c r="F13" s="24">
        <v>3.7</v>
      </c>
      <c r="G13" s="25"/>
      <c r="H13" s="18">
        <f t="shared" si="1"/>
        <v>0.23125</v>
      </c>
      <c r="I13" s="19">
        <f t="shared" si="2"/>
        <v>0.23125</v>
      </c>
      <c r="J13" s="20">
        <f t="shared" si="3"/>
        <v>50</v>
      </c>
      <c r="K13" s="22">
        <v>50.0</v>
      </c>
    </row>
    <row r="14">
      <c r="A14" s="26" t="s">
        <v>12</v>
      </c>
      <c r="B14" s="13" t="s">
        <v>21</v>
      </c>
      <c r="C14" s="14" t="str">
        <f>HYPERLINK("https://www.rei.com/product/882672/eno-sub7-hammock", "Eno Sub-7 Hammock and Helios Suspension System")</f>
        <v>Eno Sub-7 Hammock and Helios Suspension System</v>
      </c>
      <c r="D14" s="27"/>
      <c r="E14" s="28"/>
      <c r="F14" s="28">
        <v>12.0</v>
      </c>
      <c r="G14" s="29"/>
      <c r="H14" s="18">
        <f t="shared" si="1"/>
        <v>0.75</v>
      </c>
      <c r="I14" s="19">
        <f t="shared" si="2"/>
        <v>0.75</v>
      </c>
      <c r="J14" s="20">
        <f t="shared" si="3"/>
        <v>90</v>
      </c>
      <c r="K14" s="30">
        <v>90.0</v>
      </c>
    </row>
    <row r="15">
      <c r="A15" s="31"/>
      <c r="B15" s="32"/>
      <c r="C15" s="33"/>
      <c r="D15" s="33"/>
      <c r="E15" s="33"/>
      <c r="F15" s="34"/>
      <c r="G15" s="34" t="s">
        <v>22</v>
      </c>
      <c r="H15" s="35">
        <f>SUM(H7:H14)</f>
        <v>7.2025</v>
      </c>
      <c r="I15" s="36"/>
      <c r="J15" s="36"/>
      <c r="K15" s="37">
        <f>SUM(K7:K14)</f>
        <v>1231</v>
      </c>
    </row>
    <row r="16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>
      <c r="A17" s="38" t="s">
        <v>23</v>
      </c>
    </row>
    <row r="18">
      <c r="A18" s="6"/>
      <c r="B18" s="7" t="s">
        <v>3</v>
      </c>
      <c r="C18" s="8" t="s">
        <v>4</v>
      </c>
      <c r="D18" s="9" t="s">
        <v>5</v>
      </c>
      <c r="E18" s="10" t="s">
        <v>6</v>
      </c>
      <c r="F18" s="10" t="s">
        <v>7</v>
      </c>
      <c r="G18" s="10" t="s">
        <v>8</v>
      </c>
      <c r="H18" s="10" t="s">
        <v>9</v>
      </c>
      <c r="I18" s="10" t="s">
        <v>10</v>
      </c>
      <c r="J18" s="10" t="s">
        <v>10</v>
      </c>
      <c r="K18" s="10" t="s">
        <v>11</v>
      </c>
    </row>
    <row r="19">
      <c r="A19" s="26" t="s">
        <v>12</v>
      </c>
      <c r="B19" s="13" t="s">
        <v>24</v>
      </c>
      <c r="C19" s="14" t="str">
        <f>HYPERLINK("https://www.thenorthface.com/shop/mens-hyperair-gore-tex-trail-jacket-nf0a35t3-c1", "North Face HyperAir")</f>
        <v>North Face HyperAir</v>
      </c>
      <c r="D19" s="15"/>
      <c r="E19" s="16"/>
      <c r="F19" s="16">
        <v>7.2</v>
      </c>
      <c r="G19" s="17"/>
      <c r="H19" s="39">
        <v>0.4</v>
      </c>
      <c r="I19" s="19"/>
      <c r="J19" s="20"/>
      <c r="K19" s="22"/>
    </row>
    <row r="20">
      <c r="A20" s="26" t="s">
        <v>12</v>
      </c>
      <c r="B20" s="13" t="s">
        <v>25</v>
      </c>
      <c r="C20" s="14" t="str">
        <f>HYPERLINK("http://dudetrek.com/expedition-dudetrek/diy-gear/2019/12/diy-pfd-desalination-bottle-and-rain-skirt/", "DIY Rain Skirt")</f>
        <v>DIY Rain Skirt</v>
      </c>
      <c r="D20" s="23"/>
      <c r="E20" s="24"/>
      <c r="F20" s="24">
        <v>6.0</v>
      </c>
      <c r="G20" s="25"/>
      <c r="H20" s="39">
        <v>0.4</v>
      </c>
      <c r="I20" s="19"/>
      <c r="J20" s="20"/>
      <c r="K20" s="22">
        <v>6.0</v>
      </c>
    </row>
    <row r="21">
      <c r="A21" s="26" t="s">
        <v>12</v>
      </c>
      <c r="B21" s="13" t="s">
        <v>26</v>
      </c>
      <c r="C21" s="14" t="str">
        <f>HYPERLINK("https://www.railriders.com/men-journeyman-shirt-with-insect-shield-p-1055.html?cPath=104_111", "Rail Riders Journeyman Shirt")</f>
        <v>Rail Riders Journeyman Shirt</v>
      </c>
      <c r="D21" s="23"/>
      <c r="E21" s="24"/>
      <c r="F21" s="24">
        <v>10.0</v>
      </c>
      <c r="G21" s="25"/>
      <c r="H21" s="18">
        <f t="shared" ref="H21:H24" si="4">IF((E21+(F21/16)+(G21/453.592)&gt;0),E21+(F21/16)+(G21/453.592),)</f>
        <v>0.625</v>
      </c>
      <c r="I21" s="19">
        <f t="shared" ref="I21:I24" si="5">IF(A21="✓",H21,0)</f>
        <v>0.625</v>
      </c>
      <c r="J21" s="20">
        <f t="shared" ref="J21:J24" si="6">IF(A21="✓",K21,0)</f>
        <v>89</v>
      </c>
      <c r="K21" s="22">
        <v>89.0</v>
      </c>
    </row>
    <row r="22">
      <c r="A22" s="26" t="s">
        <v>12</v>
      </c>
      <c r="B22" s="13" t="s">
        <v>27</v>
      </c>
      <c r="C22" s="14" t="str">
        <f>HYPERLINK("https://www.thenorthface.com/shop/mens-north-dome-long-sleeve-shirt-nf0a3soh-c1", "North Face North Dome Shirt")</f>
        <v>North Face North Dome Shirt</v>
      </c>
      <c r="D22" s="23"/>
      <c r="E22" s="24"/>
      <c r="F22" s="24">
        <v>10.7</v>
      </c>
      <c r="G22" s="25"/>
      <c r="H22" s="18">
        <f t="shared" si="4"/>
        <v>0.66875</v>
      </c>
      <c r="I22" s="19">
        <f t="shared" si="5"/>
        <v>0.66875</v>
      </c>
      <c r="J22" s="20">
        <f t="shared" si="6"/>
        <v>80</v>
      </c>
      <c r="K22" s="22">
        <v>80.0</v>
      </c>
    </row>
    <row r="23">
      <c r="A23" s="26" t="s">
        <v>12</v>
      </c>
      <c r="B23" s="13" t="s">
        <v>28</v>
      </c>
      <c r="C23" s="14" t="str">
        <f>HYPERLINK("https://www.icebreaker.com/en-nz/30-promo/cool-lite-strike-lite-short-sleeve-crewe/103620405M_WS.html", "IceBreaker StrikeLite T-Shirt")</f>
        <v>IceBreaker StrikeLite T-Shirt</v>
      </c>
      <c r="D23" s="23"/>
      <c r="E23" s="24"/>
      <c r="F23" s="24">
        <v>5.1</v>
      </c>
      <c r="G23" s="25"/>
      <c r="H23" s="18">
        <f t="shared" si="4"/>
        <v>0.31875</v>
      </c>
      <c r="I23" s="19">
        <f t="shared" si="5"/>
        <v>0.31875</v>
      </c>
      <c r="J23" s="20">
        <f t="shared" si="6"/>
        <v>87</v>
      </c>
      <c r="K23" s="22">
        <v>87.0</v>
      </c>
    </row>
    <row r="24">
      <c r="A24" s="26" t="s">
        <v>12</v>
      </c>
      <c r="B24" s="13" t="s">
        <v>29</v>
      </c>
      <c r="C24" s="14" t="str">
        <f>HYPERLINK("https://www.icebreaker.com/en-us/mens-underwear/merino-cool-lite-anatomica-zone-boxers/105323.html?dwvar_105323_color=B28", "IceBreaker Anatomica Boxers")</f>
        <v>IceBreaker Anatomica Boxers</v>
      </c>
      <c r="D24" s="23"/>
      <c r="E24" s="24"/>
      <c r="F24" s="24">
        <v>4.0</v>
      </c>
      <c r="G24" s="25"/>
      <c r="H24" s="18">
        <f t="shared" si="4"/>
        <v>0.25</v>
      </c>
      <c r="I24" s="19">
        <f t="shared" si="5"/>
        <v>0.25</v>
      </c>
      <c r="J24" s="20">
        <f t="shared" si="6"/>
        <v>55</v>
      </c>
      <c r="K24" s="22">
        <v>55.0</v>
      </c>
    </row>
    <row r="25">
      <c r="A25" s="26" t="s">
        <v>12</v>
      </c>
      <c r="B25" s="13" t="s">
        <v>30</v>
      </c>
      <c r="C25" s="14" t="str">
        <f>HYPERLINK("https://defeet.com/products/armskin-d-logo-charcoal-wool", "Defeet Wool Armskin")</f>
        <v>Defeet Wool Armskin</v>
      </c>
      <c r="D25" s="23"/>
      <c r="E25" s="24"/>
      <c r="F25" s="24">
        <v>2.0</v>
      </c>
      <c r="G25" s="25"/>
      <c r="H25" s="18"/>
      <c r="I25" s="19"/>
      <c r="J25" s="20"/>
      <c r="K25" s="22">
        <v>35.0</v>
      </c>
    </row>
    <row r="26">
      <c r="A26" s="26" t="s">
        <v>12</v>
      </c>
      <c r="B26" s="13" t="s">
        <v>31</v>
      </c>
      <c r="C26" s="14" t="str">
        <f>HYPERLINK("https://www.thenorthface.com/shop/mens-pants-shorts/mens-warm-poly-tights-nf0a3sgc?variationId=N4L", "North Face Warm Poly Tights")</f>
        <v>North Face Warm Poly Tights</v>
      </c>
      <c r="D26" s="23"/>
      <c r="E26" s="24"/>
      <c r="F26" s="24">
        <v>4.0</v>
      </c>
      <c r="G26" s="25"/>
      <c r="H26" s="18">
        <f t="shared" ref="H26:H29" si="7">IF((E26+(F26/16)+(G26/453.592)&gt;0),E26+(F26/16)+(G26/453.592),)</f>
        <v>0.25</v>
      </c>
      <c r="I26" s="19">
        <f t="shared" ref="I26:I29" si="8">IF(A26="✓",H26,0)</f>
        <v>0.25</v>
      </c>
      <c r="J26" s="20">
        <f t="shared" ref="J26:J29" si="9">IF(A26="✓",K26,0)</f>
        <v>50</v>
      </c>
      <c r="K26" s="22">
        <v>50.0</v>
      </c>
    </row>
    <row r="27">
      <c r="A27" s="26" t="s">
        <v>12</v>
      </c>
      <c r="B27" s="13" t="s">
        <v>32</v>
      </c>
      <c r="C27" s="14" t="str">
        <f>HYPERLINK("https://www.underarmour.com/en-us/mens/socks/g/397j", "Under Armour Poly Socks")</f>
        <v>Under Armour Poly Socks</v>
      </c>
      <c r="D27" s="23"/>
      <c r="E27" s="24"/>
      <c r="F27" s="24">
        <v>3.0</v>
      </c>
      <c r="G27" s="25"/>
      <c r="H27" s="18">
        <f t="shared" si="7"/>
        <v>0.1875</v>
      </c>
      <c r="I27" s="19">
        <f t="shared" si="8"/>
        <v>0.1875</v>
      </c>
      <c r="J27" s="20">
        <f t="shared" si="9"/>
        <v>6</v>
      </c>
      <c r="K27" s="22">
        <v>6.0</v>
      </c>
    </row>
    <row r="28">
      <c r="A28" s="26" t="s">
        <v>12</v>
      </c>
      <c r="B28" s="13" t="s">
        <v>33</v>
      </c>
      <c r="C28" s="14" t="str">
        <f>HYPERLINK("https://seatosummitusa.com/products/mosquito-head-net-insect-shield", "Sea to Summit Mosquito Headnet")</f>
        <v>Sea to Summit Mosquito Headnet</v>
      </c>
      <c r="D28" s="23"/>
      <c r="E28" s="24"/>
      <c r="F28" s="24">
        <v>1.3</v>
      </c>
      <c r="G28" s="25"/>
      <c r="H28" s="18">
        <f t="shared" si="7"/>
        <v>0.08125</v>
      </c>
      <c r="I28" s="19">
        <f t="shared" si="8"/>
        <v>0.08125</v>
      </c>
      <c r="J28" s="20">
        <f t="shared" si="9"/>
        <v>10</v>
      </c>
      <c r="K28" s="22">
        <v>10.0</v>
      </c>
    </row>
    <row r="29">
      <c r="A29" s="26" t="s">
        <v>12</v>
      </c>
      <c r="B29" s="13" t="s">
        <v>34</v>
      </c>
      <c r="C29" s="14" t="str">
        <f>HYPERLINK("https://www.smartwool.com/shop/mens-wool-socks-1/trekking-heavy-crew-socks-sw0sw131?variationId=410", "Smartwool Heavy Crew Socks")</f>
        <v>Smartwool Heavy Crew Socks</v>
      </c>
      <c r="D29" s="23"/>
      <c r="E29" s="24"/>
      <c r="F29" s="24">
        <v>2.0</v>
      </c>
      <c r="G29" s="25"/>
      <c r="H29" s="18">
        <f t="shared" si="7"/>
        <v>0.125</v>
      </c>
      <c r="I29" s="19">
        <f t="shared" si="8"/>
        <v>0.125</v>
      </c>
      <c r="J29" s="20">
        <f t="shared" si="9"/>
        <v>22</v>
      </c>
      <c r="K29" s="22">
        <v>22.0</v>
      </c>
    </row>
    <row r="30">
      <c r="A30" s="26" t="s">
        <v>12</v>
      </c>
      <c r="B30" s="13" t="s">
        <v>35</v>
      </c>
      <c r="C30" s="40" t="s">
        <v>36</v>
      </c>
      <c r="D30" s="41"/>
      <c r="E30" s="42"/>
      <c r="F30" s="42">
        <v>4.0</v>
      </c>
      <c r="G30" s="43"/>
      <c r="H30" s="39">
        <v>0.25</v>
      </c>
      <c r="I30" s="19"/>
      <c r="J30" s="20"/>
      <c r="K30" s="44">
        <v>30.0</v>
      </c>
    </row>
    <row r="31">
      <c r="A31" s="26" t="s">
        <v>12</v>
      </c>
      <c r="B31" s="13" t="s">
        <v>37</v>
      </c>
      <c r="C31" s="40" t="s">
        <v>38</v>
      </c>
      <c r="D31" s="27" t="s">
        <v>39</v>
      </c>
      <c r="E31" s="28"/>
      <c r="F31" s="28">
        <v>3.0</v>
      </c>
      <c r="G31" s="29"/>
      <c r="H31" s="18">
        <f>IF((E31+(F31/16)+(G31/453.592)&gt;0),E31+(F31/16)+(G31/453.592),)</f>
        <v>0.1875</v>
      </c>
      <c r="I31" s="19">
        <f>IF(A31="✓",H31,0)</f>
        <v>0.1875</v>
      </c>
      <c r="J31" s="20">
        <f>IF(A31="✓",K31,0)</f>
        <v>5</v>
      </c>
      <c r="K31" s="30">
        <v>5.0</v>
      </c>
    </row>
    <row r="32">
      <c r="A32" s="31"/>
      <c r="B32" s="32"/>
      <c r="C32" s="33"/>
      <c r="D32" s="33"/>
      <c r="E32" s="33"/>
      <c r="F32" s="34"/>
      <c r="G32" s="34" t="s">
        <v>22</v>
      </c>
      <c r="H32" s="35">
        <f>SUM(H19:H31)</f>
        <v>3.74375</v>
      </c>
      <c r="I32" s="36"/>
      <c r="J32" s="36"/>
      <c r="K32" s="37">
        <f>SUM(K19:K31)</f>
        <v>475</v>
      </c>
    </row>
    <row r="33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33"/>
    </row>
    <row r="34">
      <c r="A34" s="45" t="s">
        <v>40</v>
      </c>
    </row>
    <row r="35">
      <c r="A35" s="6"/>
      <c r="B35" s="7" t="s">
        <v>3</v>
      </c>
      <c r="C35" s="8" t="s">
        <v>4</v>
      </c>
      <c r="D35" s="9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10</v>
      </c>
      <c r="K35" s="10" t="s">
        <v>11</v>
      </c>
    </row>
    <row r="36">
      <c r="A36" s="26" t="s">
        <v>12</v>
      </c>
      <c r="B36" s="13" t="s">
        <v>41</v>
      </c>
      <c r="C36" s="14" t="str">
        <f>HYPERLINK("https://www.traildesigns.com/products/sidewinder-ti-tri", "Trail Designs Sidewinder Ti-Tri w/Inferno and Floor")</f>
        <v>Trail Designs Sidewinder Ti-Tri w/Inferno and Floor</v>
      </c>
      <c r="D36" s="15"/>
      <c r="E36" s="16"/>
      <c r="F36" s="16">
        <v>3.0</v>
      </c>
      <c r="G36" s="17"/>
      <c r="H36" s="18">
        <f t="shared" ref="H36:H45" si="10">IF((E36+(F36/16)+(G36/453.592)&gt;0),E36+(F36/16)+(G36/453.592),)</f>
        <v>0.1875</v>
      </c>
      <c r="I36" s="19">
        <f t="shared" ref="I36:I45" si="11">IF(A36="✓",H36,0)</f>
        <v>0.1875</v>
      </c>
      <c r="J36" s="20">
        <f t="shared" ref="J36:J45" si="12">IF(A36="✓",K36,0)</f>
        <v>130</v>
      </c>
      <c r="K36" s="22">
        <v>130.0</v>
      </c>
    </row>
    <row r="37">
      <c r="A37" s="26" t="s">
        <v>12</v>
      </c>
      <c r="B37" s="13" t="s">
        <v>42</v>
      </c>
      <c r="C37" s="14" t="str">
        <f>HYPERLINK("https://www.toaksoutdoor.com/products/pot-1350", "TOAKS 1350 Titanium Cook Pot")</f>
        <v>TOAKS 1350 Titanium Cook Pot</v>
      </c>
      <c r="D37" s="23"/>
      <c r="E37" s="24"/>
      <c r="F37" s="24">
        <v>5.2</v>
      </c>
      <c r="G37" s="25"/>
      <c r="H37" s="18">
        <f t="shared" si="10"/>
        <v>0.325</v>
      </c>
      <c r="I37" s="19">
        <f t="shared" si="11"/>
        <v>0.325</v>
      </c>
      <c r="J37" s="20">
        <f t="shared" si="12"/>
        <v>59</v>
      </c>
      <c r="K37" s="22">
        <v>59.0</v>
      </c>
    </row>
    <row r="38">
      <c r="A38" s="26" t="s">
        <v>12</v>
      </c>
      <c r="B38" s="13" t="s">
        <v>43</v>
      </c>
      <c r="C38" s="40" t="s">
        <v>44</v>
      </c>
      <c r="D38" s="23"/>
      <c r="E38" s="24"/>
      <c r="F38" s="24">
        <v>1.0</v>
      </c>
      <c r="G38" s="25"/>
      <c r="H38" s="18">
        <f t="shared" si="10"/>
        <v>0.0625</v>
      </c>
      <c r="I38" s="19">
        <f t="shared" si="11"/>
        <v>0.0625</v>
      </c>
      <c r="J38" s="20">
        <f t="shared" si="12"/>
        <v>6</v>
      </c>
      <c r="K38" s="22">
        <v>6.0</v>
      </c>
    </row>
    <row r="39">
      <c r="A39" s="26" t="s">
        <v>12</v>
      </c>
      <c r="B39" s="13" t="s">
        <v>45</v>
      </c>
      <c r="C39" s="14" t="str">
        <f>HYPERLINK("https://www.toaksoutdoor.com/products/slv-11", "TOAKS Long Handled Titanium Spoon")</f>
        <v>TOAKS Long Handled Titanium Spoon</v>
      </c>
      <c r="D39" s="23"/>
      <c r="E39" s="24"/>
      <c r="F39" s="24">
        <v>0.65</v>
      </c>
      <c r="G39" s="25"/>
      <c r="H39" s="18">
        <f t="shared" si="10"/>
        <v>0.040625</v>
      </c>
      <c r="I39" s="19">
        <f t="shared" si="11"/>
        <v>0.040625</v>
      </c>
      <c r="J39" s="20">
        <f t="shared" si="12"/>
        <v>11</v>
      </c>
      <c r="K39" s="22">
        <v>11.0</v>
      </c>
    </row>
    <row r="40">
      <c r="A40" s="26" t="s">
        <v>12</v>
      </c>
      <c r="B40" s="13" t="s">
        <v>46</v>
      </c>
      <c r="C40" s="14" t="str">
        <f>HYPERLINK("https://www.msrgear.com/water-treatment/storage-bags/dromedary-bags/dromedary-bags.html", "MSR 10L Dromedary")</f>
        <v>MSR 10L Dromedary</v>
      </c>
      <c r="D40" s="23"/>
      <c r="E40" s="24"/>
      <c r="F40" s="24">
        <v>10.0</v>
      </c>
      <c r="G40" s="25"/>
      <c r="H40" s="18">
        <f t="shared" si="10"/>
        <v>0.625</v>
      </c>
      <c r="I40" s="19">
        <f t="shared" si="11"/>
        <v>0.625</v>
      </c>
      <c r="J40" s="20">
        <f t="shared" si="12"/>
        <v>50</v>
      </c>
      <c r="K40" s="22">
        <v>50.0</v>
      </c>
    </row>
    <row r="41">
      <c r="A41" s="26" t="s">
        <v>12</v>
      </c>
      <c r="B41" s="13" t="s">
        <v>46</v>
      </c>
      <c r="C41" s="14" t="str">
        <f>HYPERLINK("https://www.platy.com/reservoirs/big-zip-evo/big-zip-evo.html", "Platypus Big Zip EVO")</f>
        <v>Platypus Big Zip EVO</v>
      </c>
      <c r="D41" s="23"/>
      <c r="E41" s="24"/>
      <c r="F41" s="24">
        <v>6.5</v>
      </c>
      <c r="G41" s="25"/>
      <c r="H41" s="18">
        <f t="shared" si="10"/>
        <v>0.40625</v>
      </c>
      <c r="I41" s="19">
        <f t="shared" si="11"/>
        <v>0.40625</v>
      </c>
      <c r="J41" s="20">
        <f t="shared" si="12"/>
        <v>40</v>
      </c>
      <c r="K41" s="22">
        <v>40.0</v>
      </c>
    </row>
    <row r="42">
      <c r="A42" s="26" t="s">
        <v>12</v>
      </c>
      <c r="B42" s="13" t="s">
        <v>47</v>
      </c>
      <c r="C42" s="14" t="str">
        <f>HYPERLINK("https://www.platy.com/bottles/platy-2.0l-bottle/07601.html?srd=true", "Platypus 2L Bottles")</f>
        <v>Platypus 2L Bottles</v>
      </c>
      <c r="D42" s="23" t="s">
        <v>48</v>
      </c>
      <c r="E42" s="24"/>
      <c r="F42" s="24">
        <v>10.4</v>
      </c>
      <c r="G42" s="25"/>
      <c r="H42" s="18">
        <f t="shared" si="10"/>
        <v>0.65</v>
      </c>
      <c r="I42" s="19">
        <f t="shared" si="11"/>
        <v>0.65</v>
      </c>
      <c r="J42" s="20">
        <f t="shared" si="12"/>
        <v>103</v>
      </c>
      <c r="K42" s="22">
        <v>103.0</v>
      </c>
    </row>
    <row r="43">
      <c r="A43" s="26" t="s">
        <v>12</v>
      </c>
      <c r="B43" s="13" t="s">
        <v>49</v>
      </c>
      <c r="C43" s="14" t="str">
        <f>HYPERLINK("https://www.rei.com/product/103050/sawyer-squeeze-water-filter-system", "Sawyer Micro Squeeze Filter")</f>
        <v>Sawyer Micro Squeeze Filter</v>
      </c>
      <c r="D43" s="23"/>
      <c r="E43" s="24"/>
      <c r="F43" s="24">
        <v>2.0</v>
      </c>
      <c r="G43" s="25"/>
      <c r="H43" s="18">
        <f t="shared" si="10"/>
        <v>0.125</v>
      </c>
      <c r="I43" s="19">
        <f t="shared" si="11"/>
        <v>0.125</v>
      </c>
      <c r="J43" s="20">
        <f t="shared" si="12"/>
        <v>35</v>
      </c>
      <c r="K43" s="22">
        <v>35.0</v>
      </c>
    </row>
    <row r="44">
      <c r="A44" s="26" t="s">
        <v>12</v>
      </c>
      <c r="B44" s="13" t="s">
        <v>50</v>
      </c>
      <c r="C44" s="14" t="str">
        <f>HYPERLINK("https://www.rei.com/product/736898/potable-aqua-chlorine-dioxide-tablets-package-of-30", "Potable Aqua Chlorine Dioxide Tablets")</f>
        <v>Potable Aqua Chlorine Dioxide Tablets</v>
      </c>
      <c r="D44" s="23" t="s">
        <v>51</v>
      </c>
      <c r="E44" s="24"/>
      <c r="F44" s="24">
        <v>1.0</v>
      </c>
      <c r="G44" s="25"/>
      <c r="H44" s="18">
        <f t="shared" si="10"/>
        <v>0.0625</v>
      </c>
      <c r="I44" s="19">
        <f t="shared" si="11"/>
        <v>0.0625</v>
      </c>
      <c r="J44" s="20">
        <f t="shared" si="12"/>
        <v>30</v>
      </c>
      <c r="K44" s="22">
        <v>30.0</v>
      </c>
    </row>
    <row r="45">
      <c r="A45" s="26" t="s">
        <v>12</v>
      </c>
      <c r="B45" s="13" t="s">
        <v>52</v>
      </c>
      <c r="C45" s="14" t="str">
        <f>HYPERLINK("http://dudetrek.com/expedition-dudetrek/diy-gear/2019/12/diy-pfd-desalination-bottle-and-rain-skirt/", "DIY Desalination Bottle")</f>
        <v>DIY Desalination Bottle</v>
      </c>
      <c r="D45" s="27"/>
      <c r="E45" s="28">
        <v>2.0</v>
      </c>
      <c r="F45" s="28"/>
      <c r="G45" s="29"/>
      <c r="H45" s="18">
        <f t="shared" si="10"/>
        <v>2</v>
      </c>
      <c r="I45" s="19">
        <f t="shared" si="11"/>
        <v>2</v>
      </c>
      <c r="J45" s="20">
        <f t="shared" si="12"/>
        <v>40</v>
      </c>
      <c r="K45" s="30">
        <v>40.0</v>
      </c>
    </row>
    <row r="46">
      <c r="A46" s="31"/>
      <c r="B46" s="32"/>
      <c r="C46" s="33"/>
      <c r="D46" s="33"/>
      <c r="E46" s="33"/>
      <c r="F46" s="34"/>
      <c r="G46" s="34" t="s">
        <v>22</v>
      </c>
      <c r="H46" s="35">
        <f>SUM(H36:H45)</f>
        <v>4.484375</v>
      </c>
      <c r="I46" s="36"/>
      <c r="J46" s="36"/>
      <c r="K46" s="37">
        <f>SUM(K36:K45)</f>
        <v>504</v>
      </c>
    </row>
    <row r="47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</row>
    <row r="48">
      <c r="A48" s="46" t="s">
        <v>53</v>
      </c>
    </row>
    <row r="49">
      <c r="A49" s="6"/>
      <c r="B49" s="7" t="s">
        <v>3</v>
      </c>
      <c r="C49" s="8" t="s">
        <v>4</v>
      </c>
      <c r="D49" s="9" t="s">
        <v>5</v>
      </c>
      <c r="E49" s="10" t="s">
        <v>6</v>
      </c>
      <c r="F49" s="10" t="s">
        <v>7</v>
      </c>
      <c r="G49" s="10" t="s">
        <v>8</v>
      </c>
      <c r="H49" s="10" t="s">
        <v>9</v>
      </c>
      <c r="I49" s="10" t="s">
        <v>10</v>
      </c>
      <c r="J49" s="10" t="s">
        <v>10</v>
      </c>
      <c r="K49" s="10" t="s">
        <v>11</v>
      </c>
    </row>
    <row r="50">
      <c r="A50" s="26" t="s">
        <v>12</v>
      </c>
      <c r="B50" s="13" t="s">
        <v>54</v>
      </c>
      <c r="C50" s="14" t="str">
        <f>HYPERLINK("https://shop.nationalgeographic.com/products/baja-california-mexico-adventure-maps-map-pack-bundle", "Natgeo Baja Adventure Maps Series")</f>
        <v>Natgeo Baja Adventure Maps Series</v>
      </c>
      <c r="D50" s="15" t="s">
        <v>55</v>
      </c>
      <c r="E50" s="16"/>
      <c r="F50" s="16">
        <v>9.0</v>
      </c>
      <c r="G50" s="17"/>
      <c r="H50" s="18">
        <f t="shared" ref="H50:H54" si="13">IF((E50+(F50/16)+(G50/453.592)&gt;0),E50+(F50/16)+(G50/453.592),)</f>
        <v>0.5625</v>
      </c>
      <c r="I50" s="19">
        <f t="shared" ref="I50:I54" si="14">IF(A50="✓",H50,0)</f>
        <v>0.5625</v>
      </c>
      <c r="J50" s="20">
        <f t="shared" ref="J50:J54" si="15">IF(A50="✓",K50,0)</f>
        <v>25</v>
      </c>
      <c r="K50" s="22">
        <v>25.0</v>
      </c>
    </row>
    <row r="51">
      <c r="A51" s="26" t="s">
        <v>12</v>
      </c>
      <c r="B51" s="13" t="s">
        <v>56</v>
      </c>
      <c r="C51" s="14" t="str">
        <f>HYPERLINK("https://www.findmespot.com/en-us/products-services/spot-gen3", "SPOT Gen3")</f>
        <v>SPOT Gen3</v>
      </c>
      <c r="D51" s="15"/>
      <c r="E51" s="16"/>
      <c r="F51" s="16">
        <v>4.0</v>
      </c>
      <c r="G51" s="17"/>
      <c r="H51" s="18">
        <f t="shared" si="13"/>
        <v>0.25</v>
      </c>
      <c r="I51" s="19">
        <f t="shared" si="14"/>
        <v>0.25</v>
      </c>
      <c r="J51" s="20">
        <f t="shared" si="15"/>
        <v>150</v>
      </c>
      <c r="K51" s="22">
        <v>150.0</v>
      </c>
    </row>
    <row r="52">
      <c r="A52" s="26" t="s">
        <v>12</v>
      </c>
      <c r="B52" s="13" t="s">
        <v>57</v>
      </c>
      <c r="C52" s="14" t="str">
        <f>HYPERLINK("https://www.amazon.com/Coghlans-Function-Whistle/dp/B0778WNNGT", "Coghlan's Four Function Whistle")</f>
        <v>Coghlan's Four Function Whistle</v>
      </c>
      <c r="D52" s="15"/>
      <c r="E52" s="16"/>
      <c r="F52" s="16">
        <v>1.0</v>
      </c>
      <c r="G52" s="17"/>
      <c r="H52" s="18">
        <f t="shared" si="13"/>
        <v>0.0625</v>
      </c>
      <c r="I52" s="19">
        <f t="shared" si="14"/>
        <v>0.0625</v>
      </c>
      <c r="J52" s="20">
        <f t="shared" si="15"/>
        <v>3</v>
      </c>
      <c r="K52" s="22">
        <v>3.0</v>
      </c>
    </row>
    <row r="53">
      <c r="A53" s="26" t="s">
        <v>12</v>
      </c>
      <c r="B53" s="13" t="s">
        <v>58</v>
      </c>
      <c r="C53" s="14" t="str">
        <f>HYPERLINK("https://www.blackdiamondequipment.com/en_US/headlamps-and-lanterns/revolt-BD620631_cfg.html", "Black Diamond Revolt Headlamp")</f>
        <v>Black Diamond Revolt Headlamp</v>
      </c>
      <c r="D53" s="15"/>
      <c r="E53" s="16"/>
      <c r="F53" s="16">
        <v>3.4</v>
      </c>
      <c r="G53" s="17"/>
      <c r="H53" s="18">
        <f t="shared" si="13"/>
        <v>0.2125</v>
      </c>
      <c r="I53" s="19">
        <f t="shared" si="14"/>
        <v>0.2125</v>
      </c>
      <c r="J53" s="20">
        <f t="shared" si="15"/>
        <v>60</v>
      </c>
      <c r="K53" s="22">
        <v>60.0</v>
      </c>
    </row>
    <row r="54">
      <c r="A54" s="26" t="s">
        <v>12</v>
      </c>
      <c r="B54" s="13" t="s">
        <v>59</v>
      </c>
      <c r="C54" s="14" t="str">
        <f>HYPERLINK("https://www.opinel-usa.com/products/opinel-no-8-carbon-steel-folding-knife", "Opinel Carbon Blade No. 8 Folding Knife")</f>
        <v>Opinel Carbon Blade No. 8 Folding Knife</v>
      </c>
      <c r="D54" s="15"/>
      <c r="E54" s="16"/>
      <c r="F54" s="16">
        <v>1.6</v>
      </c>
      <c r="G54" s="17"/>
      <c r="H54" s="18">
        <f t="shared" si="13"/>
        <v>0.1</v>
      </c>
      <c r="I54" s="19">
        <f t="shared" si="14"/>
        <v>0.1</v>
      </c>
      <c r="J54" s="20">
        <f t="shared" si="15"/>
        <v>17</v>
      </c>
      <c r="K54" s="22">
        <v>17.0</v>
      </c>
    </row>
    <row r="55">
      <c r="A55" s="26" t="s">
        <v>12</v>
      </c>
      <c r="B55" s="13" t="s">
        <v>60</v>
      </c>
      <c r="C55" s="14" t="str">
        <f>HYPERLINK("https://www.swissarmy.com/us/en/Products/Swiss-Army-Knives/Small-Pocket-Knives/MiniChamp/p/0.6385", "Victronix Minichamp")</f>
        <v>Victronix Minichamp</v>
      </c>
      <c r="D55" s="15"/>
      <c r="E55" s="16"/>
      <c r="F55" s="16">
        <v>1.6</v>
      </c>
      <c r="G55" s="17"/>
      <c r="H55" s="18"/>
      <c r="I55" s="19"/>
      <c r="J55" s="20"/>
      <c r="K55" s="22">
        <v>20.0</v>
      </c>
    </row>
    <row r="56">
      <c r="A56" s="26" t="s">
        <v>12</v>
      </c>
      <c r="B56" s="13" t="s">
        <v>61</v>
      </c>
      <c r="C56" s="14" t="str">
        <f>HYPERLINK("https://www.amazon.com/Coghlans-Coghlan39-s-Flint-Striker/dp/B07BRQ1BQN", "Coghlans Flint Striker")</f>
        <v>Coghlans Flint Striker</v>
      </c>
      <c r="D56" s="15"/>
      <c r="E56" s="16"/>
      <c r="F56" s="16">
        <v>2.0</v>
      </c>
      <c r="G56" s="17"/>
      <c r="H56" s="18">
        <f t="shared" ref="H56:H71" si="16">IF((E56+(F56/16)+(G56/453.592)&gt;0),E56+(F56/16)+(G56/453.592),)</f>
        <v>0.125</v>
      </c>
      <c r="I56" s="19">
        <f t="shared" ref="I56:I71" si="17">IF(A56="✓",H56,0)</f>
        <v>0.125</v>
      </c>
      <c r="J56" s="20">
        <f t="shared" ref="J56:J71" si="18">IF(A56="✓",K56,0)</f>
        <v>5</v>
      </c>
      <c r="K56" s="22">
        <v>5.0</v>
      </c>
    </row>
    <row r="57">
      <c r="A57" s="26" t="s">
        <v>12</v>
      </c>
      <c r="B57" s="13" t="s">
        <v>62</v>
      </c>
      <c r="C57" s="14" t="str">
        <f>HYPERLINK("https://www.shopbic.com/lighters", "Bic Lighter")</f>
        <v>Bic Lighter</v>
      </c>
      <c r="D57" s="15"/>
      <c r="E57" s="16"/>
      <c r="F57" s="16"/>
      <c r="G57" s="17">
        <v>21.0</v>
      </c>
      <c r="H57" s="18">
        <f t="shared" si="16"/>
        <v>0.04629711282</v>
      </c>
      <c r="I57" s="19">
        <f t="shared" si="17"/>
        <v>0.04629711282</v>
      </c>
      <c r="J57" s="20">
        <f t="shared" si="18"/>
        <v>2</v>
      </c>
      <c r="K57" s="22">
        <v>2.0</v>
      </c>
    </row>
    <row r="58">
      <c r="A58" s="26" t="s">
        <v>12</v>
      </c>
      <c r="B58" s="13" t="s">
        <v>63</v>
      </c>
      <c r="C58" s="40" t="s">
        <v>64</v>
      </c>
      <c r="D58" s="15"/>
      <c r="E58" s="16"/>
      <c r="F58" s="16">
        <v>3.0</v>
      </c>
      <c r="G58" s="17"/>
      <c r="H58" s="18">
        <f t="shared" si="16"/>
        <v>0.1875</v>
      </c>
      <c r="I58" s="19">
        <f t="shared" si="17"/>
        <v>0.1875</v>
      </c>
      <c r="J58" s="20">
        <f t="shared" si="18"/>
        <v>20</v>
      </c>
      <c r="K58" s="22">
        <v>20.0</v>
      </c>
    </row>
    <row r="59">
      <c r="A59" s="26" t="s">
        <v>12</v>
      </c>
      <c r="B59" s="13" t="s">
        <v>65</v>
      </c>
      <c r="C59" s="40" t="s">
        <v>66</v>
      </c>
      <c r="D59" s="23"/>
      <c r="E59" s="24"/>
      <c r="F59" s="24">
        <v>6.0</v>
      </c>
      <c r="G59" s="25"/>
      <c r="H59" s="18">
        <f t="shared" si="16"/>
        <v>0.375</v>
      </c>
      <c r="I59" s="19">
        <f t="shared" si="17"/>
        <v>0.375</v>
      </c>
      <c r="J59" s="20">
        <f t="shared" si="18"/>
        <v>25</v>
      </c>
      <c r="K59" s="22">
        <v>25.0</v>
      </c>
    </row>
    <row r="60">
      <c r="A60" s="26" t="s">
        <v>12</v>
      </c>
      <c r="B60" s="13" t="s">
        <v>67</v>
      </c>
      <c r="C60" s="40" t="s">
        <v>67</v>
      </c>
      <c r="D60" s="23"/>
      <c r="E60" s="24"/>
      <c r="F60" s="24">
        <v>1.0</v>
      </c>
      <c r="G60" s="25"/>
      <c r="H60" s="18">
        <f t="shared" si="16"/>
        <v>0.0625</v>
      </c>
      <c r="I60" s="19">
        <f t="shared" si="17"/>
        <v>0.0625</v>
      </c>
      <c r="J60" s="20">
        <f t="shared" si="18"/>
        <v>1</v>
      </c>
      <c r="K60" s="22">
        <v>1.0</v>
      </c>
    </row>
    <row r="61">
      <c r="A61" s="26" t="s">
        <v>12</v>
      </c>
      <c r="B61" s="13" t="s">
        <v>68</v>
      </c>
      <c r="C61" s="40" t="s">
        <v>68</v>
      </c>
      <c r="D61" s="23"/>
      <c r="E61" s="24"/>
      <c r="F61" s="24">
        <v>3.0</v>
      </c>
      <c r="G61" s="25"/>
      <c r="H61" s="18">
        <f t="shared" si="16"/>
        <v>0.1875</v>
      </c>
      <c r="I61" s="19">
        <f t="shared" si="17"/>
        <v>0.1875</v>
      </c>
      <c r="J61" s="20">
        <f t="shared" si="18"/>
        <v>3</v>
      </c>
      <c r="K61" s="22">
        <v>3.0</v>
      </c>
    </row>
    <row r="62">
      <c r="A62" s="26" t="s">
        <v>12</v>
      </c>
      <c r="B62" s="13" t="s">
        <v>69</v>
      </c>
      <c r="C62" s="40" t="s">
        <v>70</v>
      </c>
      <c r="D62" s="23"/>
      <c r="E62" s="24"/>
      <c r="F62" s="24">
        <v>1.0</v>
      </c>
      <c r="G62" s="25"/>
      <c r="H62" s="18">
        <f t="shared" si="16"/>
        <v>0.0625</v>
      </c>
      <c r="I62" s="19">
        <f t="shared" si="17"/>
        <v>0.0625</v>
      </c>
      <c r="J62" s="20">
        <f t="shared" si="18"/>
        <v>25</v>
      </c>
      <c r="K62" s="22">
        <v>25.0</v>
      </c>
    </row>
    <row r="63">
      <c r="A63" s="26" t="s">
        <v>12</v>
      </c>
      <c r="B63" s="13" t="s">
        <v>71</v>
      </c>
      <c r="C63" s="40" t="s">
        <v>72</v>
      </c>
      <c r="D63" s="23"/>
      <c r="E63" s="24"/>
      <c r="F63" s="24">
        <v>1.0</v>
      </c>
      <c r="G63" s="25"/>
      <c r="H63" s="18">
        <f t="shared" si="16"/>
        <v>0.0625</v>
      </c>
      <c r="I63" s="19">
        <f t="shared" si="17"/>
        <v>0.0625</v>
      </c>
      <c r="J63" s="20">
        <f t="shared" si="18"/>
        <v>0</v>
      </c>
      <c r="K63" s="22">
        <v>0.0</v>
      </c>
    </row>
    <row r="64">
      <c r="A64" s="26" t="s">
        <v>12</v>
      </c>
      <c r="B64" s="13" t="s">
        <v>73</v>
      </c>
      <c r="C64" s="14" t="str">
        <f>HYPERLINK("https://seatosummitusa.com/products/event-compression-dry-sack?variant=7896126881820", "Sea to Summit Event 10P Compression Dry Sack")</f>
        <v>Sea to Summit Event 10P Compression Dry Sack</v>
      </c>
      <c r="D64" s="23"/>
      <c r="E64" s="24"/>
      <c r="F64" s="24">
        <v>4.5</v>
      </c>
      <c r="G64" s="25"/>
      <c r="H64" s="18">
        <f t="shared" si="16"/>
        <v>0.28125</v>
      </c>
      <c r="I64" s="19">
        <f t="shared" si="17"/>
        <v>0.28125</v>
      </c>
      <c r="J64" s="20">
        <f t="shared" si="18"/>
        <v>37</v>
      </c>
      <c r="K64" s="22">
        <v>37.0</v>
      </c>
    </row>
    <row r="65">
      <c r="A65" s="26" t="s">
        <v>12</v>
      </c>
      <c r="B65" s="13" t="s">
        <v>74</v>
      </c>
      <c r="C65" s="14" t="str">
        <f>HYPERLINK("https://seatosummitusa.com/collections/mobile-outdoor-dry-storage/products/ultra-sil-nano-dry-sack", "Sea to Summit Ultrasil Nano Dry Sacks")</f>
        <v>Sea to Summit Ultrasil Nano Dry Sacks</v>
      </c>
      <c r="D65" s="23" t="s">
        <v>75</v>
      </c>
      <c r="E65" s="24"/>
      <c r="F65" s="24">
        <v>4.0</v>
      </c>
      <c r="G65" s="25"/>
      <c r="H65" s="18">
        <f t="shared" si="16"/>
        <v>0.25</v>
      </c>
      <c r="I65" s="19">
        <f t="shared" si="17"/>
        <v>0.25</v>
      </c>
      <c r="J65" s="20">
        <f t="shared" si="18"/>
        <v>75</v>
      </c>
      <c r="K65" s="22">
        <v>75.0</v>
      </c>
    </row>
    <row r="66">
      <c r="A66" s="26" t="s">
        <v>12</v>
      </c>
      <c r="B66" s="13" t="s">
        <v>76</v>
      </c>
      <c r="C66" s="14" t="str">
        <f>HYPERLINK("https://www.rei.com/product/106598/fisher-space-pen-backpacker-pen?CAWELAID=120217890002953911&amp;CAGPSPN=pla&amp;CAAGID=16033056520&amp;CATCI=aud-363396065244:pla-726162326092&amp;cm_mmc=PLA_Google%7C404_1050560903%7C1065980001%7Cnone%7C_kenshoo_clickid_%7Caud-36339606"&amp;"5244:pla-726162326092&amp;lsft=cm_mmc:PLA_Google_LIA%7C404_1050560903%7C1065980001%7Cnone%7C_kenshoo_clickid_&amp;kclid=_kenshoo_clickid_&amp;gclid=Cj0KCQiA0ZHwBRCRARIsAK0Tr-oXj-lycOhtIQbbVoVSNjwaZfFdAHALI1yQ4IUVCR8jlNbUyLwvFRMaAnITEALw_wcB", "Fisher Space Pen")</f>
        <v>Fisher Space Pen</v>
      </c>
      <c r="D66" s="23"/>
      <c r="E66" s="24"/>
      <c r="F66" s="24">
        <v>1.0</v>
      </c>
      <c r="G66" s="25"/>
      <c r="H66" s="18">
        <f t="shared" si="16"/>
        <v>0.0625</v>
      </c>
      <c r="I66" s="19">
        <f t="shared" si="17"/>
        <v>0.0625</v>
      </c>
      <c r="J66" s="20">
        <f t="shared" si="18"/>
        <v>23</v>
      </c>
      <c r="K66" s="22">
        <v>23.0</v>
      </c>
    </row>
    <row r="67">
      <c r="A67" s="26" t="s">
        <v>12</v>
      </c>
      <c r="B67" s="13" t="s">
        <v>77</v>
      </c>
      <c r="C67" s="40" t="s">
        <v>78</v>
      </c>
      <c r="D67" s="23"/>
      <c r="E67" s="24"/>
      <c r="F67" s="24">
        <v>1.0</v>
      </c>
      <c r="G67" s="25"/>
      <c r="H67" s="18">
        <f t="shared" si="16"/>
        <v>0.0625</v>
      </c>
      <c r="I67" s="19">
        <f t="shared" si="17"/>
        <v>0.0625</v>
      </c>
      <c r="J67" s="20">
        <f t="shared" si="18"/>
        <v>1</v>
      </c>
      <c r="K67" s="22">
        <v>1.0</v>
      </c>
    </row>
    <row r="68">
      <c r="A68" s="26" t="s">
        <v>12</v>
      </c>
      <c r="B68" s="13" t="s">
        <v>79</v>
      </c>
      <c r="C68" s="40" t="s">
        <v>80</v>
      </c>
      <c r="D68" s="23"/>
      <c r="E68" s="24"/>
      <c r="F68" s="24">
        <v>6.0</v>
      </c>
      <c r="G68" s="25"/>
      <c r="H68" s="18">
        <f t="shared" si="16"/>
        <v>0.375</v>
      </c>
      <c r="I68" s="19">
        <f t="shared" si="17"/>
        <v>0.375</v>
      </c>
      <c r="J68" s="20">
        <f t="shared" si="18"/>
        <v>40</v>
      </c>
      <c r="K68" s="22">
        <v>40.0</v>
      </c>
    </row>
    <row r="69">
      <c r="A69" s="26" t="s">
        <v>12</v>
      </c>
      <c r="B69" s="13" t="s">
        <v>81</v>
      </c>
      <c r="C69" s="40" t="s">
        <v>82</v>
      </c>
      <c r="D69" s="23"/>
      <c r="E69" s="24"/>
      <c r="F69" s="24">
        <v>1.0</v>
      </c>
      <c r="G69" s="25"/>
      <c r="H69" s="18">
        <f t="shared" si="16"/>
        <v>0.0625</v>
      </c>
      <c r="I69" s="19">
        <f t="shared" si="17"/>
        <v>0.0625</v>
      </c>
      <c r="J69" s="20">
        <f t="shared" si="18"/>
        <v>9</v>
      </c>
      <c r="K69" s="22">
        <v>9.0</v>
      </c>
    </row>
    <row r="70">
      <c r="A70" s="26" t="s">
        <v>12</v>
      </c>
      <c r="B70" s="13" t="s">
        <v>83</v>
      </c>
      <c r="C70" s="40" t="s">
        <v>83</v>
      </c>
      <c r="D70" s="23"/>
      <c r="E70" s="24"/>
      <c r="F70" s="24">
        <v>1.0</v>
      </c>
      <c r="G70" s="25"/>
      <c r="H70" s="18">
        <f t="shared" si="16"/>
        <v>0.0625</v>
      </c>
      <c r="I70" s="19">
        <f t="shared" si="17"/>
        <v>0.0625</v>
      </c>
      <c r="J70" s="20">
        <f t="shared" si="18"/>
        <v>7</v>
      </c>
      <c r="K70" s="22">
        <v>7.0</v>
      </c>
    </row>
    <row r="71">
      <c r="A71" s="26" t="s">
        <v>12</v>
      </c>
      <c r="B71" s="13" t="s">
        <v>84</v>
      </c>
      <c r="C71" s="14" t="str">
        <f>HYPERLINK("https://mpowerd.com/products/pro-series", "MPowered Luci Light Pro")</f>
        <v>MPowered Luci Light Pro</v>
      </c>
      <c r="D71" s="23"/>
      <c r="E71" s="24"/>
      <c r="F71" s="24">
        <v>5.5</v>
      </c>
      <c r="G71" s="25"/>
      <c r="H71" s="18">
        <f t="shared" si="16"/>
        <v>0.34375</v>
      </c>
      <c r="I71" s="19">
        <f t="shared" si="17"/>
        <v>0.34375</v>
      </c>
      <c r="J71" s="20">
        <f t="shared" si="18"/>
        <v>40</v>
      </c>
      <c r="K71" s="22">
        <v>40.0</v>
      </c>
    </row>
    <row r="72">
      <c r="A72" s="26" t="s">
        <v>12</v>
      </c>
      <c r="B72" s="13" t="s">
        <v>85</v>
      </c>
      <c r="C72" s="40" t="s">
        <v>85</v>
      </c>
      <c r="D72" s="41"/>
      <c r="E72" s="42"/>
      <c r="F72" s="42">
        <v>1.5</v>
      </c>
      <c r="G72" s="43"/>
      <c r="H72" s="18"/>
      <c r="I72" s="19"/>
      <c r="J72" s="20"/>
      <c r="K72" s="44">
        <v>0.0</v>
      </c>
    </row>
    <row r="73">
      <c r="A73" s="26" t="s">
        <v>12</v>
      </c>
      <c r="B73" s="13" t="s">
        <v>86</v>
      </c>
      <c r="C73" s="14" t="str">
        <f>HYPERLINK("https://fieldnotesbrand.com/products/original-kraft", "Field Notes Journal")</f>
        <v>Field Notes Journal</v>
      </c>
      <c r="D73" s="41"/>
      <c r="E73" s="42"/>
      <c r="F73" s="42">
        <v>1.0</v>
      </c>
      <c r="G73" s="43"/>
      <c r="H73" s="18"/>
      <c r="I73" s="19"/>
      <c r="J73" s="20"/>
      <c r="K73" s="44">
        <v>10.0</v>
      </c>
    </row>
    <row r="74">
      <c r="A74" s="26" t="s">
        <v>12</v>
      </c>
      <c r="B74" s="13" t="s">
        <v>87</v>
      </c>
      <c r="C74" s="40" t="s">
        <v>88</v>
      </c>
      <c r="D74" s="27"/>
      <c r="E74" s="28"/>
      <c r="F74" s="28"/>
      <c r="G74" s="29">
        <v>10.0</v>
      </c>
      <c r="H74" s="18">
        <f>IF((E74+(F74/16)+(G74/453.592)&gt;0),E74+(F74/16)+(G74/453.592),)</f>
        <v>0.0220462442</v>
      </c>
      <c r="I74" s="19">
        <f>IF(A74="✓",H74,0)</f>
        <v>0.0220462442</v>
      </c>
      <c r="J74" s="20">
        <f>IF(A74="✓",K74,0)</f>
        <v>0</v>
      </c>
      <c r="K74" s="30">
        <v>0.0</v>
      </c>
    </row>
    <row r="75">
      <c r="A75" s="31"/>
      <c r="B75" s="32"/>
      <c r="C75" s="33"/>
      <c r="D75" s="33"/>
      <c r="E75" s="33"/>
      <c r="F75" s="34"/>
      <c r="G75" s="34" t="s">
        <v>22</v>
      </c>
      <c r="H75" s="35">
        <f>SUM(H50:H74)</f>
        <v>3.818343357</v>
      </c>
      <c r="I75" s="36"/>
      <c r="J75" s="36"/>
      <c r="K75" s="37">
        <f>SUM(K50:K74)</f>
        <v>598</v>
      </c>
    </row>
    <row r="76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</row>
    <row r="77">
      <c r="A77" s="47" t="s">
        <v>89</v>
      </c>
    </row>
    <row r="78">
      <c r="A78" s="6"/>
      <c r="B78" s="7" t="s">
        <v>3</v>
      </c>
      <c r="C78" s="8" t="s">
        <v>4</v>
      </c>
      <c r="D78" s="9" t="s">
        <v>5</v>
      </c>
      <c r="E78" s="10" t="s">
        <v>6</v>
      </c>
      <c r="F78" s="10" t="s">
        <v>7</v>
      </c>
      <c r="G78" s="10" t="s">
        <v>8</v>
      </c>
      <c r="H78" s="10" t="s">
        <v>9</v>
      </c>
      <c r="I78" s="10" t="s">
        <v>10</v>
      </c>
      <c r="J78" s="10" t="s">
        <v>10</v>
      </c>
      <c r="K78" s="10" t="s">
        <v>11</v>
      </c>
    </row>
    <row r="79">
      <c r="A79" s="26" t="s">
        <v>12</v>
      </c>
      <c r="B79" s="13" t="s">
        <v>90</v>
      </c>
      <c r="C79" s="14" t="str">
        <f>HYPERLINK("https://www.thenorthface.com/shop/mens-flight-better-than-naked-short-sleeve-tee-nf0a3f1m", "North Face ""Better Than Naked"" T-Shirt")</f>
        <v>North Face "Better Than Naked" T-Shirt</v>
      </c>
      <c r="D79" s="15"/>
      <c r="E79" s="16"/>
      <c r="F79" s="16">
        <v>3.9</v>
      </c>
      <c r="G79" s="17"/>
      <c r="H79" s="39">
        <v>0.2</v>
      </c>
      <c r="I79" s="19">
        <v>0.24</v>
      </c>
      <c r="J79" s="20">
        <v>55.0</v>
      </c>
      <c r="K79" s="22">
        <v>55.0</v>
      </c>
    </row>
    <row r="80">
      <c r="A80" s="26" t="s">
        <v>12</v>
      </c>
      <c r="B80" s="13" t="s">
        <v>91</v>
      </c>
      <c r="C80" s="14" t="str">
        <f>HYPERLINK("https://www.thenorthface.com/shop/mens-better-than-naked-shorts", "North Face ""Better Than Naked"" Shorts")</f>
        <v>North Face "Better Than Naked" Shorts</v>
      </c>
      <c r="D80" s="23"/>
      <c r="E80" s="24"/>
      <c r="F80" s="24">
        <v>3.0</v>
      </c>
      <c r="G80" s="25"/>
      <c r="H80" s="39">
        <v>0.2</v>
      </c>
      <c r="I80" s="19">
        <v>0.19</v>
      </c>
      <c r="J80" s="20">
        <v>55.0</v>
      </c>
      <c r="K80" s="22">
        <v>55.0</v>
      </c>
    </row>
    <row r="81">
      <c r="A81" s="26" t="s">
        <v>12</v>
      </c>
      <c r="B81" s="13" t="s">
        <v>92</v>
      </c>
      <c r="C81" s="40" t="s">
        <v>93</v>
      </c>
      <c r="D81" s="23"/>
      <c r="E81" s="24"/>
      <c r="F81" s="24">
        <v>2.0</v>
      </c>
      <c r="G81" s="25"/>
      <c r="H81" s="18">
        <f t="shared" ref="H81:H84" si="19">IF((E81+(F81/16)+(G81/453.592)&gt;0),E81+(F81/16)+(G81/453.592),)</f>
        <v>0.125</v>
      </c>
      <c r="I81" s="19">
        <f t="shared" ref="I81:I84" si="20">IF(A81="✓",H81,0)</f>
        <v>0.125</v>
      </c>
      <c r="J81" s="20">
        <f t="shared" ref="J81:J84" si="21">IF(A81="✓",K81,0)</f>
        <v>25</v>
      </c>
      <c r="K81" s="22">
        <v>25.0</v>
      </c>
    </row>
    <row r="82">
      <c r="A82" s="26" t="s">
        <v>12</v>
      </c>
      <c r="B82" s="13" t="s">
        <v>94</v>
      </c>
      <c r="C82" s="14" t="str">
        <f>HYPERLINK("https://www.smithoptics.com/us/Root/Discontinued/Sunglasses/PivLock%E2%84%A2-Arena/p/ANCMGMMBR", "Smith Pivlock Arena Max")</f>
        <v>Smith Pivlock Arena Max</v>
      </c>
      <c r="D82" s="23"/>
      <c r="E82" s="24"/>
      <c r="F82" s="24">
        <v>1.0</v>
      </c>
      <c r="G82" s="25"/>
      <c r="H82" s="18">
        <f t="shared" si="19"/>
        <v>0.0625</v>
      </c>
      <c r="I82" s="19">
        <f t="shared" si="20"/>
        <v>0.0625</v>
      </c>
      <c r="J82" s="20">
        <f t="shared" si="21"/>
        <v>190</v>
      </c>
      <c r="K82" s="22">
        <v>190.0</v>
      </c>
    </row>
    <row r="83">
      <c r="A83" s="26" t="s">
        <v>12</v>
      </c>
      <c r="B83" s="13" t="s">
        <v>95</v>
      </c>
      <c r="C83" s="14" t="str">
        <f>HYPERLINK("https://www.altrarunning.com/shop/superior-35-alm1853f", "Altra Superior")</f>
        <v>Altra Superior</v>
      </c>
      <c r="D83" s="23"/>
      <c r="E83" s="24"/>
      <c r="F83" s="24">
        <v>9.6</v>
      </c>
      <c r="G83" s="25"/>
      <c r="H83" s="18">
        <f t="shared" si="19"/>
        <v>0.6</v>
      </c>
      <c r="I83" s="19">
        <f t="shared" si="20"/>
        <v>0.6</v>
      </c>
      <c r="J83" s="20">
        <f t="shared" si="21"/>
        <v>110</v>
      </c>
      <c r="K83" s="22">
        <v>110.0</v>
      </c>
    </row>
    <row r="84">
      <c r="A84" s="26" t="s">
        <v>12</v>
      </c>
      <c r="B84" s="13" t="s">
        <v>96</v>
      </c>
      <c r="C84" s="40" t="s">
        <v>97</v>
      </c>
      <c r="D84" s="23"/>
      <c r="E84" s="24"/>
      <c r="F84" s="24">
        <v>4.0</v>
      </c>
      <c r="G84" s="25"/>
      <c r="H84" s="18">
        <f t="shared" si="19"/>
        <v>0.25</v>
      </c>
      <c r="I84" s="19">
        <f t="shared" si="20"/>
        <v>0.25</v>
      </c>
      <c r="J84" s="20">
        <f t="shared" si="21"/>
        <v>10</v>
      </c>
      <c r="K84" s="22">
        <v>10.0</v>
      </c>
    </row>
    <row r="85">
      <c r="A85" s="26" t="s">
        <v>12</v>
      </c>
      <c r="B85" s="13" t="s">
        <v>98</v>
      </c>
      <c r="C85" s="14" t="str">
        <f>HYPERLINK("https://www.injinji.com/run-lightweight-no-show-wool.html", "Injinji Lightweight No-Show Nuwool Toe Socks")</f>
        <v>Injinji Lightweight No-Show Nuwool Toe Socks</v>
      </c>
      <c r="D85" s="23" t="s">
        <v>99</v>
      </c>
      <c r="E85" s="24"/>
      <c r="F85" s="24">
        <v>5.0</v>
      </c>
      <c r="G85" s="25"/>
      <c r="H85" s="39">
        <v>0.3</v>
      </c>
      <c r="I85" s="19">
        <v>0.31</v>
      </c>
      <c r="J85" s="20">
        <v>90.0</v>
      </c>
      <c r="K85" s="22">
        <v>90.0</v>
      </c>
    </row>
    <row r="86">
      <c r="A86" s="26" t="s">
        <v>12</v>
      </c>
      <c r="B86" s="13" t="s">
        <v>100</v>
      </c>
      <c r="C86" s="14" t="str">
        <f>HYPERLINK("http://www.blackdiamondequipment.com/en/trail-ergo-cork-trekking-pole-BD1125066006ALL1.html#start=21", "Black Diamond Trail Ergo Cork Trekking Poles")</f>
        <v>Black Diamond Trail Ergo Cork Trekking Poles</v>
      </c>
      <c r="D86" s="23"/>
      <c r="E86" s="24"/>
      <c r="F86" s="24">
        <v>0.0</v>
      </c>
      <c r="G86" s="25"/>
      <c r="H86" s="18"/>
      <c r="I86" s="19"/>
      <c r="J86" s="20"/>
      <c r="K86" s="22">
        <v>130.0</v>
      </c>
    </row>
    <row r="87">
      <c r="A87" s="26" t="s">
        <v>101</v>
      </c>
      <c r="B87" s="13"/>
      <c r="C87" s="40" t="s">
        <v>102</v>
      </c>
      <c r="D87" s="23"/>
      <c r="E87" s="24"/>
      <c r="F87" s="24"/>
      <c r="G87" s="25"/>
      <c r="H87" s="18" t="str">
        <f t="shared" ref="H87:H89" si="22">IF((E87+(F87/16)+(G87/453.592)&gt;0),E87+(F87/16)+(G87/453.592),)</f>
        <v/>
      </c>
      <c r="I87" s="19">
        <f t="shared" ref="I87:I89" si="23">IF(A87="✓",H87,0)</f>
        <v>0</v>
      </c>
      <c r="J87" s="20">
        <f t="shared" ref="J87:J89" si="24">IF(A87="✓",K87,0)</f>
        <v>0</v>
      </c>
      <c r="K87" s="22"/>
    </row>
    <row r="88">
      <c r="A88" s="26" t="s">
        <v>101</v>
      </c>
      <c r="B88" s="13"/>
      <c r="C88" s="40" t="s">
        <v>102</v>
      </c>
      <c r="D88" s="23"/>
      <c r="E88" s="24"/>
      <c r="F88" s="24"/>
      <c r="G88" s="25"/>
      <c r="H88" s="18" t="str">
        <f t="shared" si="22"/>
        <v/>
      </c>
      <c r="I88" s="19">
        <f t="shared" si="23"/>
        <v>0</v>
      </c>
      <c r="J88" s="20">
        <f t="shared" si="24"/>
        <v>0</v>
      </c>
      <c r="K88" s="22"/>
    </row>
    <row r="89">
      <c r="A89" s="26" t="s">
        <v>101</v>
      </c>
      <c r="B89" s="13"/>
      <c r="C89" s="40" t="s">
        <v>102</v>
      </c>
      <c r="D89" s="27"/>
      <c r="E89" s="28"/>
      <c r="F89" s="28"/>
      <c r="G89" s="29"/>
      <c r="H89" s="18" t="str">
        <f t="shared" si="22"/>
        <v/>
      </c>
      <c r="I89" s="19">
        <f t="shared" si="23"/>
        <v>0</v>
      </c>
      <c r="J89" s="20">
        <f t="shared" si="24"/>
        <v>0</v>
      </c>
      <c r="K89" s="30"/>
    </row>
    <row r="90">
      <c r="A90" s="31"/>
      <c r="B90" s="32"/>
      <c r="C90" s="33"/>
      <c r="D90" s="33"/>
      <c r="E90" s="33"/>
      <c r="F90" s="34"/>
      <c r="G90" s="34" t="s">
        <v>22</v>
      </c>
      <c r="H90" s="35">
        <f>SUM(H79:H89)</f>
        <v>1.7375</v>
      </c>
      <c r="I90" s="36"/>
      <c r="J90" s="36"/>
      <c r="K90" s="37">
        <f>SUM(K79:K89)</f>
        <v>665</v>
      </c>
    </row>
    <row r="9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</row>
    <row r="92">
      <c r="A92" s="48" t="s">
        <v>103</v>
      </c>
    </row>
    <row r="93">
      <c r="A93" s="6"/>
      <c r="B93" s="7" t="s">
        <v>3</v>
      </c>
      <c r="C93" s="8" t="s">
        <v>4</v>
      </c>
      <c r="D93" s="9" t="s">
        <v>5</v>
      </c>
      <c r="E93" s="10" t="s">
        <v>6</v>
      </c>
      <c r="F93" s="10" t="s">
        <v>7</v>
      </c>
      <c r="G93" s="10" t="s">
        <v>8</v>
      </c>
      <c r="H93" s="10" t="s">
        <v>9</v>
      </c>
      <c r="I93" s="10" t="s">
        <v>10</v>
      </c>
      <c r="J93" s="10" t="s">
        <v>10</v>
      </c>
      <c r="K93" s="11" t="s">
        <v>11</v>
      </c>
    </row>
    <row r="94">
      <c r="A94" s="26" t="s">
        <v>12</v>
      </c>
      <c r="B94" s="13" t="s">
        <v>104</v>
      </c>
      <c r="C94" s="14" t="str">
        <f>HYPERLINK("https://www.alpackaraft.com/rafting/product/scout-2019/", "Alpacka Scout")</f>
        <v>Alpacka Scout</v>
      </c>
      <c r="D94" s="15"/>
      <c r="E94" s="16">
        <v>3.4</v>
      </c>
      <c r="F94" s="16"/>
      <c r="G94" s="17"/>
      <c r="H94" s="18">
        <f t="shared" ref="H94:H96" si="25">IF((E94+(F94/16)+(G94/453.592)&gt;0),E94+(F94/16)+(G94/453.592),)</f>
        <v>3.4</v>
      </c>
      <c r="I94" s="19">
        <f t="shared" ref="I94:I96" si="26">IF(A94="✓",H94,0)</f>
        <v>3.4</v>
      </c>
      <c r="J94" s="20">
        <f t="shared" ref="J94:J96" si="27">IF(A94="✓",K94,0)</f>
        <v>745</v>
      </c>
      <c r="K94" s="21">
        <v>745.0</v>
      </c>
    </row>
    <row r="95">
      <c r="A95" s="26" t="s">
        <v>12</v>
      </c>
      <c r="B95" s="13" t="s">
        <v>105</v>
      </c>
      <c r="C95" s="14" t="str">
        <f>HYPERLINK("https://www.alpackaraft.com/rafting/product/scout-seat/", "Inflatable Seat")</f>
        <v>Inflatable Seat</v>
      </c>
      <c r="D95" s="23"/>
      <c r="E95" s="24"/>
      <c r="F95" s="24">
        <v>5.6</v>
      </c>
      <c r="G95" s="25"/>
      <c r="H95" s="18">
        <f t="shared" si="25"/>
        <v>0.35</v>
      </c>
      <c r="I95" s="19">
        <f t="shared" si="26"/>
        <v>0.35</v>
      </c>
      <c r="J95" s="20">
        <f t="shared" si="27"/>
        <v>50</v>
      </c>
      <c r="K95" s="22">
        <v>50.0</v>
      </c>
    </row>
    <row r="96">
      <c r="A96" s="26" t="s">
        <v>12</v>
      </c>
      <c r="B96" s="13" t="s">
        <v>106</v>
      </c>
      <c r="C96" s="14" t="str">
        <f>HYPERLINK("https://www.alpackaraft.com/rafting/product/basic-repair-kit/", "Repair Kit")</f>
        <v>Repair Kit</v>
      </c>
      <c r="D96" s="23"/>
      <c r="E96" s="24"/>
      <c r="F96" s="24">
        <v>3.0</v>
      </c>
      <c r="G96" s="25"/>
      <c r="H96" s="18">
        <f t="shared" si="25"/>
        <v>0.1875</v>
      </c>
      <c r="I96" s="19">
        <f t="shared" si="26"/>
        <v>0.1875</v>
      </c>
      <c r="J96" s="20">
        <f t="shared" si="27"/>
        <v>15</v>
      </c>
      <c r="K96" s="22">
        <v>15.0</v>
      </c>
    </row>
    <row r="97">
      <c r="A97" s="26" t="s">
        <v>12</v>
      </c>
      <c r="B97" s="13" t="s">
        <v>107</v>
      </c>
      <c r="C97" s="40" t="s">
        <v>108</v>
      </c>
      <c r="D97" s="41"/>
      <c r="E97" s="42">
        <v>1.0</v>
      </c>
      <c r="F97" s="42"/>
      <c r="G97" s="43"/>
      <c r="H97" s="18"/>
      <c r="I97" s="19"/>
      <c r="J97" s="20"/>
      <c r="K97" s="44">
        <v>0.0</v>
      </c>
    </row>
    <row r="98">
      <c r="A98" s="26" t="s">
        <v>12</v>
      </c>
      <c r="B98" s="13" t="s">
        <v>109</v>
      </c>
      <c r="C98" s="14" t="str">
        <f>HYPERLINK("http://dudetrek.com/expedition-dudetrek/diy-gear/2019/12/diy-pfd-desalination-bottle-and-rain-skirt/", "DIY PFD")</f>
        <v>DIY PFD</v>
      </c>
      <c r="D98" s="27"/>
      <c r="E98" s="28"/>
      <c r="F98" s="28">
        <v>5.0</v>
      </c>
      <c r="G98" s="29"/>
      <c r="H98" s="18">
        <f>IF((E98+(F98/16)+(G98/453.592)&gt;0),E98+(F98/16)+(G98/453.592),)</f>
        <v>0.3125</v>
      </c>
      <c r="I98" s="19">
        <f>IF(A98="✓",H98,0)</f>
        <v>0.3125</v>
      </c>
      <c r="J98" s="20">
        <f>IF(A98="✓",K98,0)</f>
        <v>1</v>
      </c>
      <c r="K98" s="30">
        <v>1.0</v>
      </c>
    </row>
    <row r="99">
      <c r="A99" s="31"/>
      <c r="B99" s="32"/>
      <c r="C99" s="33"/>
      <c r="D99" s="33"/>
      <c r="E99" s="33"/>
      <c r="F99" s="34"/>
      <c r="G99" s="34" t="s">
        <v>22</v>
      </c>
      <c r="H99" s="35">
        <f>SUM(H94:H98)</f>
        <v>4.25</v>
      </c>
      <c r="I99" s="36"/>
      <c r="J99" s="36"/>
      <c r="K99" s="37">
        <f>SUM(K94:K98)</f>
        <v>811</v>
      </c>
    </row>
    <row r="10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>
      <c r="A101" s="50" t="s">
        <v>110</v>
      </c>
    </row>
    <row r="102">
      <c r="A102" s="6"/>
      <c r="B102" s="7" t="s">
        <v>3</v>
      </c>
      <c r="C102" s="8" t="s">
        <v>4</v>
      </c>
      <c r="D102" s="9" t="s">
        <v>5</v>
      </c>
      <c r="E102" s="10" t="s">
        <v>6</v>
      </c>
      <c r="F102" s="10" t="s">
        <v>7</v>
      </c>
      <c r="G102" s="10" t="s">
        <v>8</v>
      </c>
      <c r="H102" s="10" t="s">
        <v>9</v>
      </c>
      <c r="I102" s="10" t="s">
        <v>10</v>
      </c>
      <c r="J102" s="10" t="s">
        <v>10</v>
      </c>
      <c r="K102" s="10" t="s">
        <v>11</v>
      </c>
    </row>
    <row r="103">
      <c r="A103" s="51" t="s">
        <v>12</v>
      </c>
      <c r="B103" s="52" t="s">
        <v>111</v>
      </c>
      <c r="C103" s="14" t="str">
        <f>HYPERLINK("https://klosguitars.com/products/klos-carbon-fiber-acoustic-guitar?variant=8882376376363", "Klös Carbon Fiber Acoustic Guitar")</f>
        <v>Klös Carbon Fiber Acoustic Guitar</v>
      </c>
      <c r="D103" s="53"/>
      <c r="E103" s="54">
        <v>2.85</v>
      </c>
      <c r="F103" s="54"/>
      <c r="G103" s="55"/>
      <c r="H103" s="56">
        <f t="shared" ref="H103:H106" si="28">IF((E103+(F103/16)+(G103/453.592)&gt;0),E103+(F103/16)+(G103/453.592),)</f>
        <v>2.85</v>
      </c>
      <c r="I103" s="19">
        <f t="shared" ref="I103:I106" si="29">IF(A103="✓",H103,0)</f>
        <v>2.85</v>
      </c>
      <c r="J103" s="20">
        <f t="shared" ref="J103:J106" si="30">IF(A103="✓",K103,0)</f>
        <v>599</v>
      </c>
      <c r="K103" s="57">
        <v>599.0</v>
      </c>
    </row>
    <row r="104">
      <c r="A104" s="51" t="s">
        <v>12</v>
      </c>
      <c r="B104" s="52" t="s">
        <v>112</v>
      </c>
      <c r="C104" s="14" t="str">
        <f>HYPERLINK("https://www.amazon.com/BigBlue-Charger-Digital-Waterproof-Foldable/dp/B071G4CQSR", "BigBlue 5V 22W Solar Panel")</f>
        <v>BigBlue 5V 22W Solar Panel</v>
      </c>
      <c r="D104" s="53"/>
      <c r="E104" s="54"/>
      <c r="F104" s="54">
        <v>22.0</v>
      </c>
      <c r="G104" s="55"/>
      <c r="H104" s="56">
        <f t="shared" si="28"/>
        <v>1.375</v>
      </c>
      <c r="I104" s="19">
        <f t="shared" si="29"/>
        <v>1.375</v>
      </c>
      <c r="J104" s="20">
        <f t="shared" si="30"/>
        <v>60</v>
      </c>
      <c r="K104" s="57">
        <v>60.0</v>
      </c>
    </row>
    <row r="105">
      <c r="A105" s="51" t="s">
        <v>12</v>
      </c>
      <c r="B105" s="52" t="s">
        <v>113</v>
      </c>
      <c r="C105" s="14" t="str">
        <f>HYPERLINK("https://www.anker.com/products/variant/powercore-26800/A1277011", "Anker PowerCore 26800")</f>
        <v>Anker PowerCore 26800</v>
      </c>
      <c r="D105" s="53"/>
      <c r="E105" s="54"/>
      <c r="F105" s="54">
        <v>17.5</v>
      </c>
      <c r="G105" s="55"/>
      <c r="H105" s="56">
        <f t="shared" si="28"/>
        <v>1.09375</v>
      </c>
      <c r="I105" s="19">
        <f t="shared" si="29"/>
        <v>1.09375</v>
      </c>
      <c r="J105" s="20">
        <f t="shared" si="30"/>
        <v>60</v>
      </c>
      <c r="K105" s="57">
        <v>60.0</v>
      </c>
    </row>
    <row r="106">
      <c r="A106" s="51" t="s">
        <v>12</v>
      </c>
      <c r="B106" s="52" t="s">
        <v>114</v>
      </c>
      <c r="C106" s="14" t="str">
        <f>HYPERLINK("https://www.usa.canon.com/internet/portal/us/home/products/details/cameras/point-and-shoot-digital-cameras/long-zoom-cameras/powershot-sx530-hs", "Powershot SX350 HS")</f>
        <v>Powershot SX350 HS</v>
      </c>
      <c r="D106" s="53"/>
      <c r="E106" s="54"/>
      <c r="F106" s="54">
        <v>15.6</v>
      </c>
      <c r="G106" s="55"/>
      <c r="H106" s="56">
        <f t="shared" si="28"/>
        <v>0.975</v>
      </c>
      <c r="I106" s="19">
        <f t="shared" si="29"/>
        <v>0.975</v>
      </c>
      <c r="J106" s="20">
        <f t="shared" si="30"/>
        <v>300</v>
      </c>
      <c r="K106" s="57">
        <v>300.0</v>
      </c>
    </row>
    <row r="107">
      <c r="A107" s="51" t="s">
        <v>12</v>
      </c>
      <c r="B107" s="52" t="s">
        <v>115</v>
      </c>
      <c r="C107" s="40" t="s">
        <v>116</v>
      </c>
      <c r="D107" s="53"/>
      <c r="E107" s="54"/>
      <c r="F107" s="54">
        <v>7.2</v>
      </c>
      <c r="G107" s="55"/>
      <c r="H107" s="56"/>
      <c r="I107" s="19"/>
      <c r="J107" s="20"/>
      <c r="K107" s="57">
        <v>21.0</v>
      </c>
    </row>
    <row r="108">
      <c r="A108" s="51" t="s">
        <v>12</v>
      </c>
      <c r="B108" s="52" t="s">
        <v>117</v>
      </c>
      <c r="C108" s="14" t="str">
        <f>HYPERLINK("https://www.amazon.com/GoPro-CHDHX-401-HERO4-BLACK/dp/B00NIYNUF2", "GoPro Hero 4 Black")</f>
        <v>GoPro Hero 4 Black</v>
      </c>
      <c r="D108" s="53"/>
      <c r="E108" s="54"/>
      <c r="F108" s="54">
        <v>5.3</v>
      </c>
      <c r="G108" s="55"/>
      <c r="H108" s="56">
        <f t="shared" ref="H108:H118" si="31">IF((E108+(F108/16)+(G108/453.592)&gt;0),E108+(F108/16)+(G108/453.592),)</f>
        <v>0.33125</v>
      </c>
      <c r="I108" s="19">
        <f t="shared" ref="I108:I118" si="32">IF(A108="✓",H108,0)</f>
        <v>0.33125</v>
      </c>
      <c r="J108" s="20">
        <f t="shared" ref="J108:J118" si="33">IF(A108="✓",K108,0)</f>
        <v>375</v>
      </c>
      <c r="K108" s="57">
        <v>375.0</v>
      </c>
    </row>
    <row r="109">
      <c r="A109" s="51" t="s">
        <v>12</v>
      </c>
      <c r="B109" s="52" t="s">
        <v>118</v>
      </c>
      <c r="C109" s="14" t="str">
        <f>HYPERLINK("https://www.amazon.com/gp/aw/d/B07NWC3L95?psc=1&amp;ref=ppx_pop_mob_b_asin_image", "UBeeSize Selfie Stick Tripod")</f>
        <v>UBeeSize Selfie Stick Tripod</v>
      </c>
      <c r="D109" s="53"/>
      <c r="E109" s="54">
        <v>0.78</v>
      </c>
      <c r="F109" s="54"/>
      <c r="G109" s="55"/>
      <c r="H109" s="56">
        <f t="shared" si="31"/>
        <v>0.78</v>
      </c>
      <c r="I109" s="19">
        <f t="shared" si="32"/>
        <v>0.78</v>
      </c>
      <c r="J109" s="20">
        <f t="shared" si="33"/>
        <v>20</v>
      </c>
      <c r="K109" s="57">
        <v>20.0</v>
      </c>
    </row>
    <row r="110">
      <c r="A110" s="51" t="s">
        <v>12</v>
      </c>
      <c r="B110" s="52" t="s">
        <v>119</v>
      </c>
      <c r="C110" s="40" t="s">
        <v>119</v>
      </c>
      <c r="D110" s="53"/>
      <c r="E110" s="54"/>
      <c r="F110" s="54">
        <v>4.0</v>
      </c>
      <c r="G110" s="55"/>
      <c r="H110" s="56">
        <f t="shared" si="31"/>
        <v>0.25</v>
      </c>
      <c r="I110" s="19">
        <f t="shared" si="32"/>
        <v>0.25</v>
      </c>
      <c r="J110" s="20">
        <f t="shared" si="33"/>
        <v>50</v>
      </c>
      <c r="K110" s="57">
        <v>50.0</v>
      </c>
    </row>
    <row r="111">
      <c r="A111" s="51" t="s">
        <v>12</v>
      </c>
      <c r="B111" s="52" t="s">
        <v>120</v>
      </c>
      <c r="C111" s="40" t="s">
        <v>121</v>
      </c>
      <c r="D111" s="53"/>
      <c r="E111" s="54"/>
      <c r="F111" s="54">
        <v>3.0</v>
      </c>
      <c r="G111" s="55"/>
      <c r="H111" s="56">
        <f t="shared" si="31"/>
        <v>0.1875</v>
      </c>
      <c r="I111" s="19">
        <f t="shared" si="32"/>
        <v>0.1875</v>
      </c>
      <c r="J111" s="20">
        <f t="shared" si="33"/>
        <v>100</v>
      </c>
      <c r="K111" s="57">
        <v>100.0</v>
      </c>
    </row>
    <row r="112">
      <c r="A112" s="51" t="s">
        <v>12</v>
      </c>
      <c r="B112" s="52" t="s">
        <v>122</v>
      </c>
      <c r="C112" s="14" t="str">
        <f>HYPERLINK("https://www.samsung.com/global/galaxy/galaxy-s9/specs/", "Samsung Galaxy S9")</f>
        <v>Samsung Galaxy S9</v>
      </c>
      <c r="D112" s="58"/>
      <c r="E112" s="59"/>
      <c r="F112" s="59"/>
      <c r="G112" s="60">
        <v>189.0</v>
      </c>
      <c r="H112" s="56">
        <f t="shared" si="31"/>
        <v>0.4166740154</v>
      </c>
      <c r="I112" s="19">
        <f t="shared" si="32"/>
        <v>0.4166740154</v>
      </c>
      <c r="J112" s="20">
        <f t="shared" si="33"/>
        <v>749.99</v>
      </c>
      <c r="K112" s="57">
        <v>749.99</v>
      </c>
    </row>
    <row r="113">
      <c r="A113" s="51" t="s">
        <v>12</v>
      </c>
      <c r="B113" s="52" t="s">
        <v>123</v>
      </c>
      <c r="C113" s="40" t="s">
        <v>123</v>
      </c>
      <c r="D113" s="58"/>
      <c r="E113" s="59"/>
      <c r="F113" s="59">
        <v>2.0</v>
      </c>
      <c r="G113" s="60"/>
      <c r="H113" s="56">
        <f t="shared" si="31"/>
        <v>0.125</v>
      </c>
      <c r="I113" s="19">
        <f t="shared" si="32"/>
        <v>0.125</v>
      </c>
      <c r="J113" s="20" t="str">
        <f t="shared" si="33"/>
        <v/>
      </c>
      <c r="K113" s="57"/>
    </row>
    <row r="114">
      <c r="A114" s="51" t="s">
        <v>12</v>
      </c>
      <c r="B114" s="52"/>
      <c r="C114" s="40" t="s">
        <v>124</v>
      </c>
      <c r="D114" s="58"/>
      <c r="E114" s="59"/>
      <c r="F114" s="59"/>
      <c r="G114" s="60"/>
      <c r="H114" s="56" t="str">
        <f t="shared" si="31"/>
        <v/>
      </c>
      <c r="I114" s="19" t="str">
        <f t="shared" si="32"/>
        <v/>
      </c>
      <c r="J114" s="20" t="str">
        <f t="shared" si="33"/>
        <v/>
      </c>
      <c r="K114" s="57"/>
    </row>
    <row r="115">
      <c r="A115" s="51" t="s">
        <v>12</v>
      </c>
      <c r="B115" s="52"/>
      <c r="C115" s="40" t="s">
        <v>125</v>
      </c>
      <c r="D115" s="58"/>
      <c r="E115" s="59"/>
      <c r="F115" s="59"/>
      <c r="G115" s="60"/>
      <c r="H115" s="56" t="str">
        <f t="shared" si="31"/>
        <v/>
      </c>
      <c r="I115" s="19" t="str">
        <f t="shared" si="32"/>
        <v/>
      </c>
      <c r="J115" s="20" t="str">
        <f t="shared" si="33"/>
        <v/>
      </c>
      <c r="K115" s="57"/>
    </row>
    <row r="116">
      <c r="A116" s="51" t="s">
        <v>101</v>
      </c>
      <c r="B116" s="52"/>
      <c r="C116" s="40" t="s">
        <v>102</v>
      </c>
      <c r="D116" s="58"/>
      <c r="E116" s="59"/>
      <c r="F116" s="59"/>
      <c r="G116" s="60"/>
      <c r="H116" s="56" t="str">
        <f t="shared" si="31"/>
        <v/>
      </c>
      <c r="I116" s="19">
        <f t="shared" si="32"/>
        <v>0</v>
      </c>
      <c r="J116" s="20">
        <f t="shared" si="33"/>
        <v>0</v>
      </c>
      <c r="K116" s="57"/>
    </row>
    <row r="117">
      <c r="A117" s="51" t="s">
        <v>101</v>
      </c>
      <c r="B117" s="52"/>
      <c r="C117" s="40" t="s">
        <v>102</v>
      </c>
      <c r="D117" s="58"/>
      <c r="E117" s="59"/>
      <c r="F117" s="59"/>
      <c r="G117" s="60"/>
      <c r="H117" s="56" t="str">
        <f t="shared" si="31"/>
        <v/>
      </c>
      <c r="I117" s="19">
        <f t="shared" si="32"/>
        <v>0</v>
      </c>
      <c r="J117" s="20">
        <f t="shared" si="33"/>
        <v>0</v>
      </c>
      <c r="K117" s="57"/>
    </row>
    <row r="118">
      <c r="A118" s="51" t="s">
        <v>101</v>
      </c>
      <c r="B118" s="52"/>
      <c r="C118" s="40" t="s">
        <v>102</v>
      </c>
      <c r="D118" s="61"/>
      <c r="E118" s="62"/>
      <c r="F118" s="62"/>
      <c r="G118" s="63"/>
      <c r="H118" s="56" t="str">
        <f t="shared" si="31"/>
        <v/>
      </c>
      <c r="I118" s="19">
        <f t="shared" si="32"/>
        <v>0</v>
      </c>
      <c r="J118" s="20">
        <f t="shared" si="33"/>
        <v>0</v>
      </c>
      <c r="K118" s="64"/>
    </row>
    <row r="119">
      <c r="A119" s="31"/>
      <c r="B119" s="32"/>
      <c r="C119" s="33"/>
      <c r="D119" s="33"/>
      <c r="E119" s="33"/>
      <c r="F119" s="34"/>
      <c r="G119" s="34" t="s">
        <v>22</v>
      </c>
      <c r="H119" s="35">
        <f>SUM(H103:H118)</f>
        <v>8.384174015</v>
      </c>
      <c r="I119" s="36"/>
      <c r="J119" s="36"/>
      <c r="K119" s="37">
        <f>SUM(K103:K118)</f>
        <v>2334.99</v>
      </c>
    </row>
    <row r="120">
      <c r="A120" s="31"/>
      <c r="B120" s="32"/>
      <c r="C120" s="33"/>
      <c r="D120" s="33"/>
      <c r="E120" s="33"/>
      <c r="F120" s="34"/>
      <c r="G120" s="34"/>
      <c r="H120" s="36"/>
      <c r="I120" s="36"/>
      <c r="J120" s="36"/>
      <c r="K120" s="36"/>
    </row>
    <row r="121">
      <c r="A121" s="65" t="s">
        <v>126</v>
      </c>
    </row>
    <row r="122">
      <c r="A122" s="6"/>
      <c r="B122" s="7"/>
      <c r="C122" s="8" t="s">
        <v>127</v>
      </c>
      <c r="D122" s="9"/>
      <c r="E122" s="10"/>
      <c r="F122" s="10" t="s">
        <v>9</v>
      </c>
      <c r="G122" s="10"/>
      <c r="H122" s="11" t="s">
        <v>128</v>
      </c>
      <c r="I122" s="10"/>
      <c r="J122" s="10"/>
      <c r="K122" s="11"/>
    </row>
    <row r="123">
      <c r="A123" s="66"/>
      <c r="B123" s="67"/>
      <c r="C123" s="68" t="str">
        <f>A5</f>
        <v>THE BIG FOUR</v>
      </c>
      <c r="D123" s="68"/>
      <c r="E123" s="68"/>
      <c r="F123" s="69">
        <f>H15</f>
        <v>7.2025</v>
      </c>
      <c r="G123" s="68"/>
      <c r="H123" s="70">
        <f>K15</f>
        <v>1231</v>
      </c>
      <c r="I123" s="71"/>
      <c r="J123" s="71"/>
      <c r="K123" s="70"/>
    </row>
    <row r="124">
      <c r="A124" s="72"/>
      <c r="B124" s="67"/>
      <c r="C124" s="73" t="str">
        <f>A17</f>
        <v>CLOTHING PACKED</v>
      </c>
      <c r="D124" s="73"/>
      <c r="E124" s="73"/>
      <c r="F124" s="74">
        <f>H32</f>
        <v>3.74375</v>
      </c>
      <c r="G124" s="73"/>
      <c r="H124" s="75">
        <f>K32</f>
        <v>475</v>
      </c>
      <c r="I124" s="76"/>
      <c r="J124" s="76"/>
      <c r="K124" s="75"/>
    </row>
    <row r="125">
      <c r="A125" s="77"/>
      <c r="B125" s="67"/>
      <c r="C125" s="73" t="str">
        <f>A34</f>
        <v>COOKING &amp; HYDRATION</v>
      </c>
      <c r="D125" s="73"/>
      <c r="E125" s="73"/>
      <c r="F125" s="74">
        <f>H46</f>
        <v>4.484375</v>
      </c>
      <c r="G125" s="73"/>
      <c r="H125" s="75">
        <f>K46</f>
        <v>504</v>
      </c>
      <c r="I125" s="76"/>
      <c r="J125" s="76"/>
      <c r="K125" s="75"/>
    </row>
    <row r="126">
      <c r="A126" s="78"/>
      <c r="B126" s="67"/>
      <c r="C126" s="73" t="str">
        <f>A48</f>
        <v>SURVIVAL &amp; MISC</v>
      </c>
      <c r="D126" s="73"/>
      <c r="E126" s="73"/>
      <c r="F126" s="74">
        <f>H75</f>
        <v>3.818343357</v>
      </c>
      <c r="G126" s="73"/>
      <c r="H126" s="75">
        <f>K75</f>
        <v>598</v>
      </c>
      <c r="I126" s="76"/>
      <c r="J126" s="76"/>
      <c r="K126" s="75"/>
    </row>
    <row r="127">
      <c r="A127" s="79"/>
      <c r="B127" s="80"/>
      <c r="C127" s="79" t="s">
        <v>129</v>
      </c>
      <c r="D127" s="79"/>
      <c r="E127" s="79"/>
      <c r="F127" s="81"/>
      <c r="G127" s="82">
        <f>SUM(F123:F126)</f>
        <v>19.24896836</v>
      </c>
      <c r="H127" s="83"/>
      <c r="I127" s="84"/>
      <c r="J127" s="84"/>
      <c r="K127" s="85">
        <f>SUM(H123:H126)</f>
        <v>2808</v>
      </c>
    </row>
    <row r="128">
      <c r="A128" s="86"/>
      <c r="B128" s="87"/>
      <c r="C128" s="73" t="str">
        <f>A101</f>
        <v>Shit I have to carry for you to see this</v>
      </c>
      <c r="D128" s="73"/>
      <c r="E128" s="73"/>
      <c r="F128" s="74">
        <f>H119</f>
        <v>8.384174015</v>
      </c>
      <c r="G128" s="73"/>
      <c r="H128" s="75">
        <f>K119</f>
        <v>2334.99</v>
      </c>
      <c r="I128" s="76"/>
      <c r="J128" s="76"/>
      <c r="K128" s="75"/>
    </row>
    <row r="129">
      <c r="A129" s="79"/>
      <c r="B129" s="80"/>
      <c r="C129" s="79" t="s">
        <v>130</v>
      </c>
      <c r="D129" s="79"/>
      <c r="E129" s="79"/>
      <c r="F129" s="81"/>
      <c r="G129" s="82">
        <f>SUM(F123:F128)</f>
        <v>27.63314237</v>
      </c>
      <c r="H129" s="83"/>
      <c r="I129" s="84"/>
      <c r="J129" s="84"/>
      <c r="K129" s="85">
        <f>SUM(H123:H129)</f>
        <v>5142.99</v>
      </c>
    </row>
    <row r="130">
      <c r="A130" s="88"/>
      <c r="B130" s="87"/>
      <c r="C130" s="73" t="str">
        <f>A77</f>
        <v>CLOTHING WORN</v>
      </c>
      <c r="D130" s="73"/>
      <c r="E130" s="73"/>
      <c r="F130" s="74">
        <f>H90</f>
        <v>1.7375</v>
      </c>
      <c r="G130" s="73"/>
      <c r="H130" s="75">
        <f>K90</f>
        <v>665</v>
      </c>
      <c r="I130" s="76"/>
      <c r="J130" s="76"/>
      <c r="K130" s="75"/>
    </row>
    <row r="131">
      <c r="A131" s="89"/>
      <c r="B131" s="87"/>
      <c r="C131" s="73" t="str">
        <f>A92</f>
        <v>Boating</v>
      </c>
      <c r="D131" s="73"/>
      <c r="E131" s="73"/>
      <c r="F131" s="74">
        <f>H99</f>
        <v>4.25</v>
      </c>
      <c r="G131" s="73"/>
      <c r="H131" s="75">
        <f>K99</f>
        <v>811</v>
      </c>
      <c r="I131" s="76"/>
      <c r="J131" s="76"/>
      <c r="K131" s="75"/>
    </row>
    <row r="132">
      <c r="A132" s="79"/>
      <c r="B132" s="80"/>
      <c r="C132" s="79" t="s">
        <v>131</v>
      </c>
      <c r="D132" s="79"/>
      <c r="E132" s="79"/>
      <c r="F132" s="81"/>
      <c r="G132" s="82">
        <f>SUM(F123:F131)</f>
        <v>33.62064237</v>
      </c>
      <c r="H132" s="83"/>
      <c r="I132" s="84"/>
      <c r="J132" s="84"/>
      <c r="K132" s="85">
        <f>SUM(H123:H132)</f>
        <v>6618.99</v>
      </c>
    </row>
    <row r="133">
      <c r="A133" s="31"/>
      <c r="B133" s="32"/>
      <c r="C133" s="33"/>
      <c r="D133" s="33"/>
      <c r="E133" s="33"/>
      <c r="F133" s="34"/>
      <c r="G133" s="34"/>
      <c r="H133" s="36"/>
      <c r="I133" s="36"/>
      <c r="J133" s="36"/>
      <c r="K133" s="36"/>
    </row>
    <row r="134">
      <c r="A134" s="31"/>
      <c r="B134" s="32"/>
      <c r="C134" s="33"/>
      <c r="D134" s="33"/>
      <c r="E134" s="33"/>
      <c r="F134" s="34"/>
      <c r="G134" s="34"/>
      <c r="H134" s="36"/>
      <c r="I134" s="36"/>
      <c r="J134" s="36"/>
      <c r="K134" s="36"/>
    </row>
    <row r="135">
      <c r="A135" s="31"/>
      <c r="B135" s="32"/>
      <c r="C135" s="33"/>
      <c r="D135" s="33"/>
      <c r="E135" s="33"/>
      <c r="F135" s="34"/>
      <c r="G135" s="34"/>
      <c r="H135" s="36"/>
      <c r="I135" s="36"/>
      <c r="J135" s="36"/>
      <c r="K135" s="36"/>
    </row>
    <row r="136">
      <c r="A136" s="31"/>
      <c r="B136" s="32"/>
      <c r="C136" s="33"/>
      <c r="D136" s="33"/>
      <c r="E136" s="33"/>
      <c r="F136" s="34"/>
      <c r="G136" s="34"/>
      <c r="H136" s="36"/>
      <c r="I136" s="36"/>
      <c r="J136" s="36"/>
      <c r="K136" s="36"/>
    </row>
    <row r="137">
      <c r="A137" s="31"/>
      <c r="B137" s="32"/>
      <c r="C137" s="33"/>
      <c r="D137" s="33"/>
      <c r="E137" s="33"/>
      <c r="F137" s="34"/>
      <c r="G137" s="34"/>
      <c r="H137" s="36"/>
      <c r="I137" s="36"/>
      <c r="J137" s="36"/>
      <c r="K137" s="36"/>
    </row>
    <row r="138">
      <c r="A138" s="31"/>
      <c r="B138" s="32"/>
      <c r="C138" s="33"/>
      <c r="D138" s="33"/>
      <c r="E138" s="33"/>
      <c r="F138" s="34"/>
      <c r="G138" s="34"/>
      <c r="H138" s="36"/>
      <c r="I138" s="36"/>
      <c r="J138" s="36"/>
      <c r="K138" s="36"/>
    </row>
    <row r="139">
      <c r="A139" s="31"/>
      <c r="B139" s="32"/>
      <c r="C139" s="33"/>
      <c r="D139" s="33"/>
      <c r="E139" s="33"/>
      <c r="F139" s="34"/>
      <c r="G139" s="34"/>
      <c r="H139" s="36"/>
      <c r="I139" s="36"/>
      <c r="J139" s="36"/>
      <c r="K139" s="36"/>
    </row>
    <row r="140">
      <c r="A140" s="31"/>
      <c r="B140" s="32"/>
      <c r="C140" s="33"/>
      <c r="D140" s="33"/>
      <c r="E140" s="33"/>
      <c r="F140" s="34"/>
      <c r="G140" s="34"/>
      <c r="H140" s="36"/>
      <c r="I140" s="36"/>
      <c r="J140" s="36"/>
      <c r="K140" s="36"/>
    </row>
    <row r="141">
      <c r="A141" s="31"/>
      <c r="B141" s="32"/>
      <c r="C141" s="33"/>
      <c r="D141" s="33"/>
      <c r="E141" s="33"/>
      <c r="F141" s="34"/>
      <c r="G141" s="34"/>
      <c r="H141" s="36"/>
      <c r="I141" s="36"/>
      <c r="J141" s="36"/>
      <c r="K141" s="36"/>
    </row>
    <row r="142">
      <c r="A142" s="31"/>
      <c r="B142" s="32"/>
      <c r="C142" s="33"/>
      <c r="D142" s="33"/>
      <c r="E142" s="33"/>
      <c r="F142" s="34"/>
      <c r="G142" s="34"/>
      <c r="H142" s="36"/>
      <c r="I142" s="36"/>
      <c r="J142" s="36"/>
      <c r="K142" s="36"/>
    </row>
    <row r="143">
      <c r="A143" s="31"/>
      <c r="B143" s="32"/>
      <c r="C143" s="33"/>
      <c r="D143" s="33"/>
      <c r="E143" s="33"/>
      <c r="F143" s="34"/>
      <c r="G143" s="34"/>
      <c r="H143" s="36"/>
      <c r="I143" s="36"/>
      <c r="J143" s="36"/>
      <c r="K143" s="36"/>
    </row>
    <row r="144">
      <c r="A144" s="31"/>
      <c r="B144" s="32"/>
      <c r="C144" s="33"/>
      <c r="D144" s="33"/>
      <c r="E144" s="33"/>
      <c r="F144" s="34"/>
      <c r="G144" s="34"/>
      <c r="H144" s="36"/>
      <c r="I144" s="36"/>
      <c r="J144" s="36"/>
      <c r="K144" s="36"/>
    </row>
    <row r="145">
      <c r="A145" s="31"/>
      <c r="B145" s="32"/>
      <c r="C145" s="33"/>
      <c r="D145" s="33"/>
      <c r="E145" s="33"/>
      <c r="F145" s="34"/>
      <c r="G145" s="34"/>
      <c r="H145" s="36"/>
      <c r="I145" s="36"/>
      <c r="J145" s="36"/>
      <c r="K145" s="36"/>
    </row>
    <row r="146">
      <c r="A146" s="31"/>
      <c r="B146" s="32"/>
      <c r="C146" s="33"/>
      <c r="D146" s="33"/>
      <c r="E146" s="33"/>
      <c r="F146" s="34"/>
      <c r="G146" s="34"/>
      <c r="H146" s="36"/>
      <c r="I146" s="36"/>
      <c r="J146" s="36"/>
      <c r="K146" s="36"/>
    </row>
    <row r="147">
      <c r="A147" s="31"/>
      <c r="B147" s="32"/>
      <c r="C147" s="33"/>
      <c r="D147" s="33"/>
      <c r="E147" s="33"/>
      <c r="F147" s="34"/>
      <c r="G147" s="34"/>
      <c r="H147" s="36"/>
      <c r="I147" s="36"/>
      <c r="J147" s="36"/>
      <c r="K147" s="36"/>
    </row>
    <row r="148">
      <c r="A148" s="31"/>
      <c r="B148" s="32"/>
      <c r="C148" s="33"/>
      <c r="D148" s="33"/>
      <c r="E148" s="33"/>
      <c r="F148" s="34"/>
      <c r="G148" s="34"/>
      <c r="H148" s="36"/>
      <c r="I148" s="36"/>
      <c r="J148" s="36"/>
      <c r="K148" s="36"/>
    </row>
    <row r="149">
      <c r="A149" s="31"/>
      <c r="B149" s="32"/>
      <c r="C149" s="33"/>
      <c r="D149" s="33"/>
      <c r="E149" s="33"/>
      <c r="F149" s="34"/>
      <c r="G149" s="34"/>
      <c r="H149" s="36"/>
      <c r="I149" s="36"/>
      <c r="J149" s="36"/>
      <c r="K149" s="36"/>
    </row>
    <row r="150">
      <c r="A150" s="31"/>
      <c r="B150" s="32"/>
      <c r="C150" s="33"/>
      <c r="D150" s="33"/>
      <c r="E150" s="33"/>
      <c r="F150" s="34"/>
      <c r="G150" s="34"/>
      <c r="H150" s="36"/>
      <c r="I150" s="36"/>
      <c r="J150" s="36"/>
      <c r="K150" s="36"/>
    </row>
    <row r="151">
      <c r="A151" s="31"/>
      <c r="B151" s="32"/>
      <c r="C151" s="33"/>
      <c r="D151" s="33"/>
      <c r="E151" s="33"/>
      <c r="F151" s="34"/>
      <c r="G151" s="34"/>
      <c r="H151" s="36"/>
      <c r="I151" s="36"/>
      <c r="J151" s="36"/>
      <c r="K151" s="36"/>
    </row>
    <row r="152">
      <c r="A152" s="31"/>
      <c r="B152" s="32"/>
      <c r="C152" s="33"/>
      <c r="D152" s="33"/>
      <c r="E152" s="33"/>
      <c r="F152" s="34"/>
      <c r="G152" s="34"/>
      <c r="H152" s="36"/>
      <c r="I152" s="36"/>
      <c r="J152" s="36"/>
      <c r="K152" s="36"/>
    </row>
    <row r="153">
      <c r="A153" s="31"/>
      <c r="B153" s="32"/>
      <c r="C153" s="33"/>
      <c r="D153" s="33"/>
      <c r="E153" s="33"/>
      <c r="F153" s="34"/>
      <c r="G153" s="34"/>
      <c r="H153" s="36"/>
      <c r="I153" s="36"/>
      <c r="J153" s="36"/>
      <c r="K153" s="36"/>
    </row>
    <row r="154">
      <c r="A154" s="90" t="s">
        <v>132</v>
      </c>
    </row>
    <row r="155">
      <c r="A155" s="91" t="s">
        <v>133</v>
      </c>
    </row>
    <row r="156">
      <c r="A156" s="31"/>
      <c r="B156" s="32"/>
      <c r="C156" s="33"/>
      <c r="D156" s="33"/>
      <c r="E156" s="33"/>
      <c r="F156" s="34"/>
      <c r="G156" s="34"/>
      <c r="H156" s="36"/>
      <c r="I156" s="36"/>
      <c r="J156" s="36"/>
      <c r="K156" s="36"/>
    </row>
  </sheetData>
  <mergeCells count="13">
    <mergeCell ref="A77:K77"/>
    <mergeCell ref="A92:K92"/>
    <mergeCell ref="A101:K101"/>
    <mergeCell ref="A121:K121"/>
    <mergeCell ref="A154:K154"/>
    <mergeCell ref="A155:K155"/>
    <mergeCell ref="A1:K1"/>
    <mergeCell ref="A2:K2"/>
    <mergeCell ref="A3:K3"/>
    <mergeCell ref="A5:K5"/>
    <mergeCell ref="A17:K17"/>
    <mergeCell ref="A34:K34"/>
    <mergeCell ref="A48:K48"/>
  </mergeCells>
  <conditionalFormatting sqref="A10:A14 A19:A31 A36:A45 A50:A74 A79:A89 A94:A98 A103:A118 A123:A132">
    <cfRule type="containsText" dxfId="0" priority="1" operator="containsText" text="✓">
      <formula>NOT(ISERROR(SEARCH(("✓"),(A10))))</formula>
    </cfRule>
  </conditionalFormatting>
  <conditionalFormatting sqref="A10:A14 A19:A31 A36:A45 A50:A74 A79:A89 A94:A98 A103:A118 A123:A132">
    <cfRule type="containsText" dxfId="1" priority="2" operator="containsText" text="X">
      <formula>NOT(ISERROR(SEARCH(("X"),(A10))))</formula>
    </cfRule>
  </conditionalFormatting>
  <conditionalFormatting sqref="B7:C14 B19:C31 B36:C45 B50:C74 B79:C89 B94:C98 B103:C118 A123:C132">
    <cfRule type="expression" dxfId="2" priority="3">
      <formula>A7="✓"</formula>
    </cfRule>
  </conditionalFormatting>
  <conditionalFormatting sqref="D7:D14 D19:D31 D36:D45 D50:D74 D79:D89 D94:D98 D103:D118">
    <cfRule type="expression" dxfId="2" priority="4">
      <formula>A7="✓"</formula>
    </cfRule>
  </conditionalFormatting>
  <conditionalFormatting sqref="D7:D14 D19:D31 D36:D45 D50:D74 D79:D89 D94:D98 D103:D118">
    <cfRule type="expression" dxfId="3" priority="5">
      <formula>A7="X"</formula>
    </cfRule>
  </conditionalFormatting>
  <conditionalFormatting sqref="E7:E14 E19:E31 E36:E45 E50:E74 E79:E89 E94:E98 E103:E118">
    <cfRule type="expression" dxfId="2" priority="6">
      <formula>A7="✓"</formula>
    </cfRule>
  </conditionalFormatting>
  <conditionalFormatting sqref="E7:E14 E19:E31 E36:E45 E50:E74 E79:E89 E94:E98 E103:E118">
    <cfRule type="expression" dxfId="3" priority="7">
      <formula>A7="X"</formula>
    </cfRule>
  </conditionalFormatting>
  <conditionalFormatting sqref="F7:F14 F19:F31 F36:F45 F50:F74 F79:F89 F94:F98 F103:F118">
    <cfRule type="expression" dxfId="2" priority="8">
      <formula>A7="✓"</formula>
    </cfRule>
  </conditionalFormatting>
  <conditionalFormatting sqref="F7:F14 F19:F31 F36:F45 F50:F74 F79:F89 F94:F98 F103:F118">
    <cfRule type="expression" dxfId="3" priority="9">
      <formula>A7="X"</formula>
    </cfRule>
  </conditionalFormatting>
  <conditionalFormatting sqref="B7:C14 B19:C31 B36:C45 B50:C74 B79:C89 B94:C98 B103:C118 A123:C132">
    <cfRule type="expression" dxfId="3" priority="10">
      <formula>A7="X"</formula>
    </cfRule>
  </conditionalFormatting>
  <conditionalFormatting sqref="G7:G14 G19:G31 G36:G45 G50:G74 G79:G89 G94:G98 G103:G118">
    <cfRule type="expression" dxfId="2" priority="11">
      <formula>A7="✓"</formula>
    </cfRule>
  </conditionalFormatting>
  <conditionalFormatting sqref="G7:G14 G19:G31 G36:G45 G50:G74 G79:G89 G94:G98 G103:G118">
    <cfRule type="expression" dxfId="3" priority="12">
      <formula>A7="X"</formula>
    </cfRule>
  </conditionalFormatting>
  <conditionalFormatting sqref="H7:H14 H19:H31 H36:H45 H50:H74 H79:H89 H94:H98 H103:H118 F123:F132 H123:H132">
    <cfRule type="expression" dxfId="2" priority="13">
      <formula>A7="✓"</formula>
    </cfRule>
  </conditionalFormatting>
  <conditionalFormatting sqref="H7:H14 H19:H31 H36:H45 H50:H74 H79:H89 H94:H98 H103:H118 F123:F132 H123:H132">
    <cfRule type="expression" dxfId="3" priority="14">
      <formula>A7="X"</formula>
    </cfRule>
  </conditionalFormatting>
  <conditionalFormatting sqref="K7:K14 K19:K31 K36:K45 K50:K74 K79:K89 K94:K98 K103:K118 H123:H132 K123:K132">
    <cfRule type="expression" dxfId="2" priority="15">
      <formula>A7="✓"</formula>
    </cfRule>
  </conditionalFormatting>
  <conditionalFormatting sqref="K7:K14 K19:K31 K36:K45 K50:K74 K79:K89 K94:K98 K103:K118 H123:H132 K123:K132">
    <cfRule type="expression" dxfId="3" priority="16">
      <formula>A7="X"</formula>
    </cfRule>
  </conditionalFormatting>
  <conditionalFormatting sqref="A10:A14 A19:A31 A36:A45 A50:A74 A79:A89 A94:A98 A103:A118 A123:A132">
    <cfRule type="containsText" dxfId="0" priority="17" operator="containsText" text="✓">
      <formula>NOT(ISERROR(SEARCH(("✓"),(A10))))</formula>
    </cfRule>
  </conditionalFormatting>
  <conditionalFormatting sqref="A10:A14 A19:A31 A36:A45 A50:A74 A79:A89 A94:A98 A103:A118 A123:A132">
    <cfRule type="containsText" dxfId="1" priority="18" operator="containsText" text="X">
      <formula>NOT(ISERROR(SEARCH(("X"),(A10))))</formula>
    </cfRule>
  </conditionalFormatting>
  <dataValidations>
    <dataValidation type="list" allowBlank="1" sqref="A7:A14 A19:A31 A36:A45 A50:A74 A79:A89 A94:A98 A103:A118">
      <formula1>"✓,X"</formula1>
    </dataValidation>
  </dataValidations>
  <hyperlinks>
    <hyperlink r:id="rId1" ref="A155"/>
  </hyperlinks>
  <drawing r:id="rId2"/>
</worksheet>
</file>